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3408" windowWidth="12048" windowHeight="5412" activeTab="1"/>
  </bookViews>
  <sheets>
    <sheet name="Nal Nov" sheetId="1" r:id="rId1"/>
    <sheet name="Inter Nov" sheetId="2" r:id="rId2"/>
    <sheet name="Hoja1" sheetId="3" r:id="rId3"/>
    <sheet name="Hoja2" sheetId="4" r:id="rId4"/>
    <sheet name="Hoja3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<sst xmlns="http://schemas.openxmlformats.org/spreadsheetml/2006/main" count="168" uniqueCount="103">
  <si>
    <t>CANCELADOS</t>
  </si>
  <si>
    <t>DEMORADOS</t>
  </si>
  <si>
    <t>ANALISIS DE CUMPLIMIENTO</t>
  </si>
  <si>
    <t>EMPRESAS INTERNACIONALES</t>
  </si>
  <si>
    <t>No.</t>
  </si>
  <si>
    <t>CONCEPTO</t>
  </si>
  <si>
    <t>AMERICAN</t>
  </si>
  <si>
    <t>AVIANCA</t>
  </si>
  <si>
    <t>CUBANA</t>
  </si>
  <si>
    <t>DELTA</t>
  </si>
  <si>
    <t>IBERIA</t>
  </si>
  <si>
    <t>TAME</t>
  </si>
  <si>
    <t>LACSA</t>
  </si>
  <si>
    <t>TOTAL</t>
  </si>
  <si>
    <t>VUELOS PROGRAMADOS</t>
  </si>
  <si>
    <t>VUELOS ADICIONALES</t>
  </si>
  <si>
    <t>No. VUELOS</t>
  </si>
  <si>
    <t>MINUTOS</t>
  </si>
  <si>
    <t>TOTAL VUELOS</t>
  </si>
  <si>
    <t>VUELOS VENDIDOS</t>
  </si>
  <si>
    <t>VUELOS CUMPLIDOS</t>
  </si>
  <si>
    <t>TIEMPO PROMEDIO POR DEMORA</t>
  </si>
  <si>
    <t>VUELOS DEMORADOS</t>
  </si>
  <si>
    <t>VUELOS CANCELADOS</t>
  </si>
  <si>
    <t>TACA  PERU</t>
  </si>
  <si>
    <t>LAN  PERU</t>
  </si>
  <si>
    <t>AI R E S</t>
  </si>
  <si>
    <t>AIR  CANADA</t>
  </si>
  <si>
    <t>POR FALTA DE TRAFICO</t>
  </si>
  <si>
    <t>POR INCONTROLABLES</t>
  </si>
  <si>
    <t>POR DAÑOS TECNICOS</t>
  </si>
  <si>
    <t>POR OPERACIONALES</t>
  </si>
  <si>
    <t>CUMPLIMIENTO DEL SERVICIO</t>
  </si>
  <si>
    <t>VUELOS CHARTERS</t>
  </si>
  <si>
    <t xml:space="preserve"> POR FALTA DE TRAFICO</t>
  </si>
  <si>
    <t xml:space="preserve"> POR INCONTROLABLES</t>
  </si>
  <si>
    <t>NUMERO</t>
  </si>
  <si>
    <t>AEROREPUBLICA</t>
  </si>
  <si>
    <t>A. GALAPAGOS</t>
  </si>
  <si>
    <t>EMPRESAS NACIONALES</t>
  </si>
  <si>
    <t>RPB</t>
  </si>
  <si>
    <t>ARE</t>
  </si>
  <si>
    <t>AVA</t>
  </si>
  <si>
    <t>EFY</t>
  </si>
  <si>
    <t>NO ESPECIFICOS</t>
  </si>
  <si>
    <t>NSE</t>
  </si>
  <si>
    <t>A. ARGENTINAS</t>
  </si>
  <si>
    <t>AIR FRANCE</t>
  </si>
  <si>
    <t>CONTINENTAL</t>
  </si>
  <si>
    <t>TOTAL INCONTROLABLES Y TRAFICO</t>
  </si>
  <si>
    <t>TOTAL DAÑOS TECNICOS Y OPERACIONALES</t>
  </si>
  <si>
    <t>ADA</t>
  </si>
  <si>
    <t>CUMPLIMIENTO DE ITINERARIOS REGISTRADOS EN LA UAEAC</t>
  </si>
  <si>
    <t>COPA</t>
  </si>
  <si>
    <t>LAN CHILE</t>
  </si>
  <si>
    <t>JETBLUE</t>
  </si>
  <si>
    <t>SPIRIT</t>
  </si>
  <si>
    <t>Fuente: Torre de Control/Itinerarios/Aerolineas</t>
  </si>
  <si>
    <t>AEROMEXICO</t>
  </si>
  <si>
    <t>LUFTHANSA</t>
  </si>
  <si>
    <t>VUELOS CANCELADOS - CRUCE DE DATOS</t>
  </si>
  <si>
    <t>VUELOS DEMORADOS - CRUCE DE DATOS</t>
  </si>
  <si>
    <t>CONVIASA</t>
  </si>
  <si>
    <t>Tabla de contingencia Empresa * CUMPLIMIENTO * tráfico</t>
  </si>
  <si>
    <t>tráfico</t>
  </si>
  <si>
    <t>CUMPLIMIENTO</t>
  </si>
  <si>
    <t>Total</t>
  </si>
  <si>
    <t>Internacional</t>
  </si>
  <si>
    <t>Empresa</t>
  </si>
  <si>
    <t>AAL</t>
  </si>
  <si>
    <t>ACA</t>
  </si>
  <si>
    <t>AFR</t>
  </si>
  <si>
    <t>AMX</t>
  </si>
  <si>
    <t>ARG</t>
  </si>
  <si>
    <t>CMP</t>
  </si>
  <si>
    <t>COA</t>
  </si>
  <si>
    <t>CUB</t>
  </si>
  <si>
    <t>DAL</t>
  </si>
  <si>
    <t>DLH</t>
  </si>
  <si>
    <t>DNL</t>
  </si>
  <si>
    <t>GLG</t>
  </si>
  <si>
    <t>IBE</t>
  </si>
  <si>
    <t>INC</t>
  </si>
  <si>
    <t>JBU</t>
  </si>
  <si>
    <t>LAN</t>
  </si>
  <si>
    <t>LPE</t>
  </si>
  <si>
    <t>LRC</t>
  </si>
  <si>
    <t>NKS</t>
  </si>
  <si>
    <t>ONE</t>
  </si>
  <si>
    <t>TAE</t>
  </si>
  <si>
    <t>TAI</t>
  </si>
  <si>
    <t>TAM</t>
  </si>
  <si>
    <t>TNM</t>
  </si>
  <si>
    <t>TPU</t>
  </si>
  <si>
    <t>VCV</t>
  </si>
  <si>
    <t>Nacional</t>
  </si>
  <si>
    <t>ANQ</t>
  </si>
  <si>
    <t>canc</t>
  </si>
  <si>
    <t>demora</t>
  </si>
  <si>
    <t>cumpl</t>
  </si>
  <si>
    <t>MES: NOVIEMBRE 2011</t>
  </si>
  <si>
    <t>MES : NOVIEMBRE 2011</t>
  </si>
  <si>
    <t>noviembre</t>
  </si>
</sst>
</file>

<file path=xl/styles.xml><?xml version="1.0" encoding="utf-8"?>
<styleSheet xmlns="http://schemas.openxmlformats.org/spreadsheetml/2006/main">
  <numFmts count="5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&quot;$b&quot;\ * #,##0.00_);_(&quot;$b&quot;\ * \(#,##0.00\);_(&quot;$b&quot;\ 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##0"/>
    <numFmt numFmtId="189" formatCode="0.0%"/>
    <numFmt numFmtId="190" formatCode="#,##0\ &quot;pta&quot;;\-#,##0\ &quot;pta&quot;"/>
    <numFmt numFmtId="191" formatCode="#,##0\ &quot;pta&quot;;[Red]\-#,##0\ &quot;pta&quot;"/>
    <numFmt numFmtId="192" formatCode="#,##0.00\ &quot;pta&quot;;\-#,##0.00\ &quot;pta&quot;"/>
    <numFmt numFmtId="193" formatCode="#,##0.00\ &quot;pta&quot;;[Red]\-#,##0.00\ &quot;pta&quot;"/>
    <numFmt numFmtId="194" formatCode="_-* #,##0\ &quot;pta&quot;_-;\-* #,##0\ &quot;pta&quot;_-;_-* &quot;-&quot;\ &quot;pta&quot;_-;_-@_-"/>
    <numFmt numFmtId="195" formatCode="_-* #,##0\ _p_t_a_-;\-* #,##0\ _p_t_a_-;_-* &quot;-&quot;\ _p_t_a_-;_-@_-"/>
    <numFmt numFmtId="196" formatCode="_-* #,##0.00\ &quot;pta&quot;_-;\-* #,##0.00\ &quot;pta&quot;_-;_-* &quot;-&quot;??\ &quot;pta&quot;_-;_-@_-"/>
    <numFmt numFmtId="197" formatCode="_-* #,##0.00\ _p_t_a_-;\-* #,##0.00\ _p_t_a_-;_-* &quot;-&quot;??\ _p_t_a_-;_-@_-"/>
    <numFmt numFmtId="198" formatCode="#,##0.0"/>
    <numFmt numFmtId="199" formatCode="0.0\ %"/>
    <numFmt numFmtId="200" formatCode="0.0"/>
    <numFmt numFmtId="201" formatCode="_-* #,##0.00\ [$€]_-;\-* #,##0.00\ [$€]_-;_-* &quot;-&quot;??\ [$€]_-;_-@_-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.00000000"/>
    <numFmt numFmtId="208" formatCode="[$-240A]hh:mm:ss\ AM/PM"/>
    <numFmt numFmtId="209" formatCode="[$-240A]dddd\,\ dd&quot; de &quot;mmmm&quot; de &quot;yyyy"/>
    <numFmt numFmtId="210" formatCode="[$-C0A]dddd\,\ dd&quot; de &quot;mmmm&quot; de &quot;yyyy"/>
    <numFmt numFmtId="211" formatCode="&quot;Sí&quot;;&quot;Sí&quot;;&quot;No&quot;"/>
    <numFmt numFmtId="212" formatCode="&quot;Verdadero&quot;;&quot;Verdadero&quot;;&quot;Falso&quot;"/>
    <numFmt numFmtId="213" formatCode="&quot;Activado&quot;;&quot;Activado&quot;;&quot;Desactivado&quot;"/>
    <numFmt numFmtId="214" formatCode="[$€-2]\ #,##0.00_);[Red]\([$€-2]\ #,##0.00\)"/>
  </numFmts>
  <fonts count="6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7"/>
      <color indexed="8"/>
      <name val="Arial"/>
      <family val="2"/>
    </font>
    <font>
      <b/>
      <sz val="11"/>
      <color indexed="8"/>
      <name val="Arial Bold"/>
      <family val="0"/>
    </font>
    <font>
      <sz val="11"/>
      <color indexed="8"/>
      <name val="Arial"/>
      <family val="2"/>
    </font>
    <font>
      <sz val="3.25"/>
      <color indexed="8"/>
      <name val="Arial"/>
      <family val="2"/>
    </font>
    <font>
      <b/>
      <sz val="2"/>
      <color indexed="8"/>
      <name val="Comic Sans MS"/>
      <family val="4"/>
    </font>
    <font>
      <b/>
      <sz val="1.5"/>
      <color indexed="8"/>
      <name val="Comic Sans MS"/>
      <family val="4"/>
    </font>
    <font>
      <sz val="1.75"/>
      <color indexed="8"/>
      <name val="Comic Sans MS"/>
      <family val="4"/>
    </font>
    <font>
      <sz val="2"/>
      <color indexed="8"/>
      <name val="Arial"/>
      <family val="2"/>
    </font>
    <font>
      <sz val="1"/>
      <color indexed="8"/>
      <name val="Arial"/>
      <family val="2"/>
    </font>
    <font>
      <sz val="3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b/>
      <sz val="1.75"/>
      <color indexed="8"/>
      <name val="Comic Sans MS"/>
      <family val="4"/>
    </font>
    <font>
      <b/>
      <sz val="1"/>
      <color indexed="8"/>
      <name val="Arial"/>
      <family val="2"/>
    </font>
    <font>
      <b/>
      <sz val="2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3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n">
        <color indexed="8"/>
      </right>
      <top style="thick"/>
      <bottom style="thick"/>
    </border>
    <border>
      <left>
        <color indexed="63"/>
      </left>
      <right style="thin">
        <color indexed="8"/>
      </right>
      <top style="thick"/>
      <bottom style="thick"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n">
        <color indexed="8"/>
      </bottom>
    </border>
    <border>
      <left style="thick"/>
      <right style="thick"/>
      <top style="thin">
        <color indexed="8"/>
      </top>
      <bottom style="thin">
        <color indexed="8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ck"/>
      <bottom style="thick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9"/>
      </top>
      <bottom>
        <color indexed="9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9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>
      <left style="thin"/>
      <right style="thick"/>
      <top>
        <color indexed="63"/>
      </top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ck"/>
      <top style="thin">
        <color indexed="8"/>
      </top>
      <bottom>
        <color indexed="63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9"/>
      </bottom>
    </border>
    <border>
      <left>
        <color indexed="8"/>
      </left>
      <right style="medium">
        <color indexed="8"/>
      </right>
      <top>
        <color indexed="9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3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3" fontId="9" fillId="0" borderId="0" xfId="0" applyNumberFormat="1" applyFont="1" applyAlignment="1">
      <alignment/>
    </xf>
    <xf numFmtId="9" fontId="9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3" fontId="7" fillId="33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horizontal="center" vertical="center" wrapText="1"/>
    </xf>
    <xf numFmtId="3" fontId="0" fillId="33" borderId="11" xfId="0" applyNumberFormat="1" applyFont="1" applyFill="1" applyBorder="1" applyAlignment="1">
      <alignment horizontal="right"/>
    </xf>
    <xf numFmtId="3" fontId="0" fillId="33" borderId="12" xfId="0" applyNumberFormat="1" applyFont="1" applyFill="1" applyBorder="1" applyAlignment="1">
      <alignment horizontal="right"/>
    </xf>
    <xf numFmtId="0" fontId="6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9" fillId="0" borderId="13" xfId="0" applyNumberFormat="1" applyFont="1" applyBorder="1" applyAlignment="1" applyProtection="1">
      <alignment horizontal="right"/>
      <protection/>
    </xf>
    <xf numFmtId="3" fontId="0" fillId="33" borderId="14" xfId="0" applyNumberFormat="1" applyFont="1" applyFill="1" applyBorder="1" applyAlignment="1" applyProtection="1">
      <alignment horizontal="right"/>
      <protection/>
    </xf>
    <xf numFmtId="3" fontId="0" fillId="33" borderId="15" xfId="0" applyNumberFormat="1" applyFont="1" applyFill="1" applyBorder="1" applyAlignment="1" applyProtection="1">
      <alignment horizontal="right"/>
      <protection/>
    </xf>
    <xf numFmtId="3" fontId="0" fillId="33" borderId="16" xfId="0" applyNumberFormat="1" applyFont="1" applyFill="1" applyBorder="1" applyAlignment="1" applyProtection="1">
      <alignment horizontal="right"/>
      <protection/>
    </xf>
    <xf numFmtId="0" fontId="6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65" fillId="0" borderId="0" xfId="0" applyFont="1" applyAlignment="1">
      <alignment/>
    </xf>
    <xf numFmtId="0" fontId="65" fillId="0" borderId="0" xfId="0" applyFont="1" applyBorder="1" applyAlignment="1">
      <alignment/>
    </xf>
    <xf numFmtId="3" fontId="9" fillId="33" borderId="18" xfId="0" applyNumberFormat="1" applyFont="1" applyFill="1" applyBorder="1" applyAlignment="1" applyProtection="1">
      <alignment horizontal="right"/>
      <protection/>
    </xf>
    <xf numFmtId="3" fontId="9" fillId="33" borderId="19" xfId="0" applyNumberFormat="1" applyFont="1" applyFill="1" applyBorder="1" applyAlignment="1" applyProtection="1">
      <alignment horizontal="right"/>
      <protection/>
    </xf>
    <xf numFmtId="3" fontId="9" fillId="33" borderId="20" xfId="0" applyNumberFormat="1" applyFont="1" applyFill="1" applyBorder="1" applyAlignment="1" applyProtection="1">
      <alignment horizontal="right"/>
      <protection/>
    </xf>
    <xf numFmtId="3" fontId="9" fillId="0" borderId="21" xfId="0" applyNumberFormat="1" applyFont="1" applyBorder="1" applyAlignment="1" applyProtection="1">
      <alignment horizontal="right"/>
      <protection/>
    </xf>
    <xf numFmtId="3" fontId="13" fillId="0" borderId="0" xfId="0" applyNumberFormat="1" applyFont="1" applyAlignment="1">
      <alignment/>
    </xf>
    <xf numFmtId="3" fontId="9" fillId="0" borderId="22" xfId="0" applyNumberFormat="1" applyFont="1" applyBorder="1" applyAlignment="1" applyProtection="1">
      <alignment horizontal="right"/>
      <protection/>
    </xf>
    <xf numFmtId="3" fontId="8" fillId="0" borderId="22" xfId="0" applyNumberFormat="1" applyFont="1" applyBorder="1" applyAlignment="1" applyProtection="1">
      <alignment horizontal="right"/>
      <protection/>
    </xf>
    <xf numFmtId="3" fontId="9" fillId="0" borderId="23" xfId="0" applyNumberFormat="1" applyFont="1" applyBorder="1" applyAlignment="1" applyProtection="1">
      <alignment horizontal="right"/>
      <protection/>
    </xf>
    <xf numFmtId="3" fontId="9" fillId="0" borderId="24" xfId="0" applyNumberFormat="1" applyFont="1" applyBorder="1" applyAlignment="1" applyProtection="1">
      <alignment horizontal="right"/>
      <protection/>
    </xf>
    <xf numFmtId="3" fontId="9" fillId="0" borderId="25" xfId="0" applyNumberFormat="1" applyFont="1" applyBorder="1" applyAlignment="1" applyProtection="1">
      <alignment horizontal="right"/>
      <protection/>
    </xf>
    <xf numFmtId="3" fontId="9" fillId="0" borderId="26" xfId="0" applyNumberFormat="1" applyFont="1" applyBorder="1" applyAlignment="1" applyProtection="1">
      <alignment horizontal="right"/>
      <protection/>
    </xf>
    <xf numFmtId="3" fontId="9" fillId="0" borderId="27" xfId="0" applyNumberFormat="1" applyFont="1" applyBorder="1" applyAlignment="1" applyProtection="1">
      <alignment horizontal="right"/>
      <protection/>
    </xf>
    <xf numFmtId="3" fontId="9" fillId="0" borderId="28" xfId="0" applyNumberFormat="1" applyFont="1" applyBorder="1" applyAlignment="1" applyProtection="1">
      <alignment horizontal="right"/>
      <protection/>
    </xf>
    <xf numFmtId="3" fontId="9" fillId="0" borderId="29" xfId="0" applyNumberFormat="1" applyFont="1" applyBorder="1" applyAlignment="1" applyProtection="1">
      <alignment horizontal="right"/>
      <protection/>
    </xf>
    <xf numFmtId="3" fontId="9" fillId="0" borderId="30" xfId="0" applyNumberFormat="1" applyFont="1" applyBorder="1" applyAlignment="1" applyProtection="1">
      <alignment horizontal="right"/>
      <protection/>
    </xf>
    <xf numFmtId="3" fontId="9" fillId="33" borderId="31" xfId="0" applyNumberFormat="1" applyFont="1" applyFill="1" applyBorder="1" applyAlignment="1">
      <alignment horizontal="right" vertical="center" wrapText="1"/>
    </xf>
    <xf numFmtId="3" fontId="9" fillId="33" borderId="32" xfId="0" applyNumberFormat="1" applyFont="1" applyFill="1" applyBorder="1" applyAlignment="1">
      <alignment horizontal="right" vertical="center" wrapText="1"/>
    </xf>
    <xf numFmtId="3" fontId="8" fillId="33" borderId="33" xfId="0" applyNumberFormat="1" applyFont="1" applyFill="1" applyBorder="1" applyAlignment="1" applyProtection="1">
      <alignment horizontal="right"/>
      <protection/>
    </xf>
    <xf numFmtId="3" fontId="8" fillId="33" borderId="34" xfId="0" applyNumberFormat="1" applyFont="1" applyFill="1" applyBorder="1" applyAlignment="1" applyProtection="1">
      <alignment horizontal="right"/>
      <protection/>
    </xf>
    <xf numFmtId="3" fontId="8" fillId="33" borderId="35" xfId="0" applyNumberFormat="1" applyFont="1" applyFill="1" applyBorder="1" applyAlignment="1" applyProtection="1">
      <alignment horizontal="right"/>
      <protection/>
    </xf>
    <xf numFmtId="3" fontId="8" fillId="33" borderId="36" xfId="0" applyNumberFormat="1" applyFont="1" applyFill="1" applyBorder="1" applyAlignment="1" applyProtection="1">
      <alignment horizontal="right"/>
      <protection/>
    </xf>
    <xf numFmtId="3" fontId="8" fillId="33" borderId="37" xfId="0" applyNumberFormat="1" applyFont="1" applyFill="1" applyBorder="1" applyAlignment="1" applyProtection="1">
      <alignment horizontal="right"/>
      <protection/>
    </xf>
    <xf numFmtId="0" fontId="10" fillId="0" borderId="38" xfId="0" applyFont="1" applyBorder="1" applyAlignment="1" applyProtection="1">
      <alignment horizont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/>
      <protection/>
    </xf>
    <xf numFmtId="0" fontId="10" fillId="0" borderId="40" xfId="0" applyFont="1" applyBorder="1" applyAlignment="1" applyProtection="1">
      <alignment horizontal="center"/>
      <protection/>
    </xf>
    <xf numFmtId="0" fontId="10" fillId="0" borderId="41" xfId="0" applyFont="1" applyBorder="1" applyAlignment="1" applyProtection="1">
      <alignment horizontal="center"/>
      <protection/>
    </xf>
    <xf numFmtId="0" fontId="10" fillId="0" borderId="42" xfId="0" applyFont="1" applyBorder="1" applyAlignment="1" applyProtection="1">
      <alignment horizontal="center"/>
      <protection/>
    </xf>
    <xf numFmtId="3" fontId="8" fillId="33" borderId="43" xfId="0" applyNumberFormat="1" applyFont="1" applyFill="1" applyBorder="1" applyAlignment="1" applyProtection="1">
      <alignment horizontal="right"/>
      <protection/>
    </xf>
    <xf numFmtId="3" fontId="9" fillId="33" borderId="18" xfId="0" applyNumberFormat="1" applyFont="1" applyFill="1" applyBorder="1" applyAlignment="1">
      <alignment horizontal="right" vertical="center" wrapText="1"/>
    </xf>
    <xf numFmtId="3" fontId="9" fillId="33" borderId="19" xfId="0" applyNumberFormat="1" applyFont="1" applyFill="1" applyBorder="1" applyAlignment="1">
      <alignment horizontal="right" vertical="center" wrapText="1"/>
    </xf>
    <xf numFmtId="3" fontId="8" fillId="33" borderId="10" xfId="0" applyNumberFormat="1" applyFont="1" applyFill="1" applyBorder="1" applyAlignment="1" applyProtection="1">
      <alignment horizontal="right"/>
      <protection/>
    </xf>
    <xf numFmtId="0" fontId="10" fillId="34" borderId="44" xfId="0" applyFont="1" applyFill="1" applyBorder="1" applyAlignment="1" applyProtection="1">
      <alignment horizontal="center" textRotation="90"/>
      <protection/>
    </xf>
    <xf numFmtId="0" fontId="10" fillId="34" borderId="10" xfId="0" applyFont="1" applyFill="1" applyBorder="1" applyAlignment="1" applyProtection="1">
      <alignment horizontal="center" textRotation="90"/>
      <protection/>
    </xf>
    <xf numFmtId="3" fontId="9" fillId="0" borderId="45" xfId="0" applyNumberFormat="1" applyFont="1" applyBorder="1" applyAlignment="1" applyProtection="1">
      <alignment horizontal="right"/>
      <protection/>
    </xf>
    <xf numFmtId="3" fontId="9" fillId="0" borderId="46" xfId="0" applyNumberFormat="1" applyFont="1" applyBorder="1" applyAlignment="1" applyProtection="1">
      <alignment horizontal="right"/>
      <protection/>
    </xf>
    <xf numFmtId="3" fontId="9" fillId="0" borderId="47" xfId="0" applyNumberFormat="1" applyFont="1" applyBorder="1" applyAlignment="1" applyProtection="1">
      <alignment horizontal="right"/>
      <protection/>
    </xf>
    <xf numFmtId="3" fontId="9" fillId="0" borderId="18" xfId="0" applyNumberFormat="1" applyFont="1" applyBorder="1" applyAlignment="1" applyProtection="1">
      <alignment horizontal="right"/>
      <protection/>
    </xf>
    <xf numFmtId="3" fontId="9" fillId="0" borderId="19" xfId="0" applyNumberFormat="1" applyFont="1" applyBorder="1" applyAlignment="1" applyProtection="1">
      <alignment horizontal="right"/>
      <protection/>
    </xf>
    <xf numFmtId="0" fontId="10" fillId="0" borderId="33" xfId="0" applyFont="1" applyBorder="1" applyAlignment="1" applyProtection="1">
      <alignment horizontal="left"/>
      <protection/>
    </xf>
    <xf numFmtId="0" fontId="10" fillId="0" borderId="36" xfId="0" applyFont="1" applyBorder="1" applyAlignment="1" applyProtection="1">
      <alignment horizontal="left"/>
      <protection/>
    </xf>
    <xf numFmtId="0" fontId="10" fillId="33" borderId="33" xfId="0" applyFont="1" applyFill="1" applyBorder="1" applyAlignment="1" applyProtection="1">
      <alignment horizontal="left"/>
      <protection/>
    </xf>
    <xf numFmtId="3" fontId="9" fillId="0" borderId="31" xfId="0" applyNumberFormat="1" applyFont="1" applyBorder="1" applyAlignment="1" applyProtection="1">
      <alignment horizontal="right"/>
      <protection/>
    </xf>
    <xf numFmtId="3" fontId="9" fillId="0" borderId="32" xfId="0" applyNumberFormat="1" applyFont="1" applyBorder="1" applyAlignment="1" applyProtection="1">
      <alignment horizontal="right"/>
      <protection/>
    </xf>
    <xf numFmtId="3" fontId="8" fillId="0" borderId="13" xfId="0" applyNumberFormat="1" applyFont="1" applyBorder="1" applyAlignment="1" applyProtection="1">
      <alignment horizontal="right"/>
      <protection/>
    </xf>
    <xf numFmtId="3" fontId="8" fillId="0" borderId="26" xfId="0" applyNumberFormat="1" applyFont="1" applyBorder="1" applyAlignment="1" applyProtection="1">
      <alignment horizontal="right"/>
      <protection/>
    </xf>
    <xf numFmtId="3" fontId="8" fillId="0" borderId="27" xfId="0" applyNumberFormat="1" applyFont="1" applyBorder="1" applyAlignment="1" applyProtection="1">
      <alignment horizontal="right"/>
      <protection/>
    </xf>
    <xf numFmtId="3" fontId="8" fillId="0" borderId="30" xfId="0" applyNumberFormat="1" applyFont="1" applyBorder="1" applyAlignment="1" applyProtection="1">
      <alignment horizontal="right"/>
      <protection/>
    </xf>
    <xf numFmtId="3" fontId="8" fillId="35" borderId="14" xfId="0" applyNumberFormat="1" applyFont="1" applyFill="1" applyBorder="1" applyAlignment="1" applyProtection="1">
      <alignment horizontal="center"/>
      <protection/>
    </xf>
    <xf numFmtId="3" fontId="8" fillId="35" borderId="16" xfId="0" applyNumberFormat="1" applyFont="1" applyFill="1" applyBorder="1" applyAlignment="1" applyProtection="1">
      <alignment horizontal="center"/>
      <protection/>
    </xf>
    <xf numFmtId="9" fontId="8" fillId="36" borderId="18" xfId="54" applyNumberFormat="1" applyFont="1" applyFill="1" applyBorder="1" applyAlignment="1" applyProtection="1">
      <alignment horizontal="center"/>
      <protection/>
    </xf>
    <xf numFmtId="9" fontId="8" fillId="36" borderId="19" xfId="54" applyNumberFormat="1" applyFont="1" applyFill="1" applyBorder="1" applyAlignment="1" applyProtection="1">
      <alignment horizontal="center"/>
      <protection/>
    </xf>
    <xf numFmtId="3" fontId="8" fillId="35" borderId="43" xfId="0" applyNumberFormat="1" applyFont="1" applyFill="1" applyBorder="1" applyAlignment="1" applyProtection="1">
      <alignment horizontal="center"/>
      <protection/>
    </xf>
    <xf numFmtId="9" fontId="8" fillId="36" borderId="10" xfId="54" applyNumberFormat="1" applyFont="1" applyFill="1" applyBorder="1" applyAlignment="1" applyProtection="1">
      <alignment horizontal="center"/>
      <protection/>
    </xf>
    <xf numFmtId="3" fontId="8" fillId="33" borderId="10" xfId="0" applyNumberFormat="1" applyFont="1" applyFill="1" applyBorder="1" applyAlignment="1">
      <alignment horizontal="right" vertical="center" wrapText="1"/>
    </xf>
    <xf numFmtId="0" fontId="10" fillId="35" borderId="10" xfId="0" applyFont="1" applyFill="1" applyBorder="1" applyAlignment="1" applyProtection="1">
      <alignment horizontal="center"/>
      <protection/>
    </xf>
    <xf numFmtId="0" fontId="10" fillId="35" borderId="48" xfId="0" applyFont="1" applyFill="1" applyBorder="1" applyAlignment="1" applyProtection="1">
      <alignment horizontal="center"/>
      <protection/>
    </xf>
    <xf numFmtId="0" fontId="10" fillId="36" borderId="10" xfId="0" applyFont="1" applyFill="1" applyBorder="1" applyAlignment="1" applyProtection="1">
      <alignment horizontal="center"/>
      <protection/>
    </xf>
    <xf numFmtId="0" fontId="10" fillId="0" borderId="37" xfId="0" applyFont="1" applyBorder="1" applyAlignment="1" applyProtection="1">
      <alignment horizontal="left"/>
      <protection/>
    </xf>
    <xf numFmtId="0" fontId="10" fillId="0" borderId="35" xfId="0" applyFont="1" applyBorder="1" applyAlignment="1" applyProtection="1">
      <alignment horizontal="left"/>
      <protection/>
    </xf>
    <xf numFmtId="0" fontId="6" fillId="34" borderId="49" xfId="0" applyFont="1" applyFill="1" applyBorder="1" applyAlignment="1" applyProtection="1">
      <alignment horizontal="center" textRotation="90"/>
      <protection/>
    </xf>
    <xf numFmtId="0" fontId="6" fillId="0" borderId="40" xfId="0" applyFont="1" applyBorder="1" applyAlignment="1" applyProtection="1">
      <alignment horizontal="center"/>
      <protection/>
    </xf>
    <xf numFmtId="3" fontId="13" fillId="33" borderId="18" xfId="0" applyNumberFormat="1" applyFont="1" applyFill="1" applyBorder="1" applyAlignment="1" applyProtection="1">
      <alignment horizontal="right"/>
      <protection/>
    </xf>
    <xf numFmtId="3" fontId="13" fillId="33" borderId="19" xfId="0" applyNumberFormat="1" applyFont="1" applyFill="1" applyBorder="1" applyAlignment="1" applyProtection="1">
      <alignment horizontal="right"/>
      <protection/>
    </xf>
    <xf numFmtId="3" fontId="12" fillId="33" borderId="10" xfId="0" applyNumberFormat="1" applyFont="1" applyFill="1" applyBorder="1" applyAlignment="1" applyProtection="1">
      <alignment horizontal="right"/>
      <protection/>
    </xf>
    <xf numFmtId="0" fontId="6" fillId="0" borderId="38" xfId="0" applyFont="1" applyBorder="1" applyAlignment="1" applyProtection="1">
      <alignment horizontal="center"/>
      <protection/>
    </xf>
    <xf numFmtId="0" fontId="6" fillId="0" borderId="50" xfId="0" applyFont="1" applyBorder="1" applyAlignment="1" applyProtection="1">
      <alignment horizontal="left"/>
      <protection/>
    </xf>
    <xf numFmtId="3" fontId="13" fillId="0" borderId="45" xfId="0" applyNumberFormat="1" applyFont="1" applyBorder="1" applyAlignment="1" applyProtection="1">
      <alignment horizontal="right"/>
      <protection/>
    </xf>
    <xf numFmtId="3" fontId="13" fillId="0" borderId="46" xfId="0" applyNumberFormat="1" applyFont="1" applyBorder="1" applyAlignment="1" applyProtection="1">
      <alignment horizontal="right"/>
      <protection/>
    </xf>
    <xf numFmtId="3" fontId="13" fillId="0" borderId="46" xfId="0" applyNumberFormat="1" applyFont="1" applyFill="1" applyBorder="1" applyAlignment="1" applyProtection="1">
      <alignment horizontal="right"/>
      <protection/>
    </xf>
    <xf numFmtId="3" fontId="12" fillId="33" borderId="37" xfId="0" applyNumberFormat="1" applyFont="1" applyFill="1" applyBorder="1" applyAlignment="1" applyProtection="1">
      <alignment horizontal="right"/>
      <protection/>
    </xf>
    <xf numFmtId="0" fontId="6" fillId="0" borderId="39" xfId="0" applyFont="1" applyBorder="1" applyAlignment="1" applyProtection="1">
      <alignment horizontal="center"/>
      <protection/>
    </xf>
    <xf numFmtId="3" fontId="13" fillId="0" borderId="30" xfId="0" applyNumberFormat="1" applyFont="1" applyBorder="1" applyAlignment="1" applyProtection="1">
      <alignment horizontal="right"/>
      <protection/>
    </xf>
    <xf numFmtId="3" fontId="13" fillId="0" borderId="30" xfId="0" applyNumberFormat="1" applyFont="1" applyFill="1" applyBorder="1" applyAlignment="1" applyProtection="1">
      <alignment horizontal="right"/>
      <protection/>
    </xf>
    <xf numFmtId="3" fontId="12" fillId="33" borderId="35" xfId="0" applyNumberFormat="1" applyFont="1" applyFill="1" applyBorder="1" applyAlignment="1" applyProtection="1">
      <alignment horizontal="right"/>
      <protection/>
    </xf>
    <xf numFmtId="0" fontId="6" fillId="0" borderId="51" xfId="0" applyFont="1" applyBorder="1" applyAlignment="1" applyProtection="1">
      <alignment horizontal="center"/>
      <protection/>
    </xf>
    <xf numFmtId="3" fontId="13" fillId="0" borderId="46" xfId="0" applyNumberFormat="1" applyFont="1" applyFill="1" applyBorder="1" applyAlignment="1">
      <alignment horizontal="right"/>
    </xf>
    <xf numFmtId="3" fontId="12" fillId="33" borderId="33" xfId="0" applyNumberFormat="1" applyFont="1" applyFill="1" applyBorder="1" applyAlignment="1" applyProtection="1">
      <alignment horizontal="right"/>
      <protection/>
    </xf>
    <xf numFmtId="0" fontId="6" fillId="0" borderId="52" xfId="0" applyFont="1" applyBorder="1" applyAlignment="1" applyProtection="1">
      <alignment horizontal="center"/>
      <protection/>
    </xf>
    <xf numFmtId="3" fontId="13" fillId="0" borderId="22" xfId="0" applyNumberFormat="1" applyFont="1" applyBorder="1" applyAlignment="1" applyProtection="1">
      <alignment horizontal="right"/>
      <protection/>
    </xf>
    <xf numFmtId="3" fontId="13" fillId="0" borderId="13" xfId="0" applyNumberFormat="1" applyFont="1" applyBorder="1" applyAlignment="1" applyProtection="1">
      <alignment horizontal="right"/>
      <protection/>
    </xf>
    <xf numFmtId="3" fontId="13" fillId="0" borderId="13" xfId="0" applyNumberFormat="1" applyFont="1" applyFill="1" applyBorder="1" applyAlignment="1" applyProtection="1">
      <alignment horizontal="right"/>
      <protection/>
    </xf>
    <xf numFmtId="3" fontId="13" fillId="0" borderId="13" xfId="0" applyNumberFormat="1" applyFont="1" applyFill="1" applyBorder="1" applyAlignment="1">
      <alignment horizontal="right"/>
    </xf>
    <xf numFmtId="3" fontId="12" fillId="33" borderId="34" xfId="0" applyNumberFormat="1" applyFont="1" applyFill="1" applyBorder="1" applyAlignment="1" applyProtection="1">
      <alignment horizontal="right"/>
      <protection/>
    </xf>
    <xf numFmtId="3" fontId="13" fillId="0" borderId="23" xfId="0" applyNumberFormat="1" applyFont="1" applyBorder="1" applyAlignment="1" applyProtection="1">
      <alignment horizontal="right"/>
      <protection/>
    </xf>
    <xf numFmtId="3" fontId="13" fillId="0" borderId="24" xfId="0" applyNumberFormat="1" applyFont="1" applyBorder="1" applyAlignment="1" applyProtection="1">
      <alignment horizontal="right"/>
      <protection/>
    </xf>
    <xf numFmtId="3" fontId="13" fillId="0" borderId="24" xfId="0" applyNumberFormat="1" applyFont="1" applyFill="1" applyBorder="1" applyAlignment="1" applyProtection="1">
      <alignment horizontal="right"/>
      <protection/>
    </xf>
    <xf numFmtId="3" fontId="13" fillId="0" borderId="24" xfId="0" applyNumberFormat="1" applyFont="1" applyFill="1" applyBorder="1" applyAlignment="1">
      <alignment horizontal="right"/>
    </xf>
    <xf numFmtId="3" fontId="12" fillId="33" borderId="36" xfId="0" applyNumberFormat="1" applyFont="1" applyFill="1" applyBorder="1" applyAlignment="1" applyProtection="1">
      <alignment horizontal="right"/>
      <protection/>
    </xf>
    <xf numFmtId="3" fontId="13" fillId="0" borderId="18" xfId="0" applyNumberFormat="1" applyFont="1" applyBorder="1" applyAlignment="1" applyProtection="1">
      <alignment horizontal="right"/>
      <protection/>
    </xf>
    <xf numFmtId="3" fontId="13" fillId="0" borderId="19" xfId="0" applyNumberFormat="1" applyFont="1" applyBorder="1" applyAlignment="1" applyProtection="1">
      <alignment horizontal="right"/>
      <protection/>
    </xf>
    <xf numFmtId="3" fontId="12" fillId="33" borderId="53" xfId="0" applyNumberFormat="1" applyFont="1" applyFill="1" applyBorder="1" applyAlignment="1" applyProtection="1">
      <alignment horizontal="right"/>
      <protection/>
    </xf>
    <xf numFmtId="3" fontId="13" fillId="0" borderId="45" xfId="0" applyNumberFormat="1" applyFont="1" applyBorder="1" applyAlignment="1">
      <alignment horizontal="right"/>
    </xf>
    <xf numFmtId="3" fontId="13" fillId="0" borderId="46" xfId="0" applyNumberFormat="1" applyFont="1" applyBorder="1" applyAlignment="1">
      <alignment horizontal="right"/>
    </xf>
    <xf numFmtId="3" fontId="13" fillId="0" borderId="23" xfId="0" applyNumberFormat="1" applyFont="1" applyBorder="1" applyAlignment="1">
      <alignment horizontal="right"/>
    </xf>
    <xf numFmtId="3" fontId="13" fillId="0" borderId="24" xfId="0" applyNumberFormat="1" applyFont="1" applyBorder="1" applyAlignment="1">
      <alignment horizontal="right"/>
    </xf>
    <xf numFmtId="0" fontId="6" fillId="0" borderId="39" xfId="0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left"/>
      <protection/>
    </xf>
    <xf numFmtId="0" fontId="6" fillId="0" borderId="55" xfId="0" applyFont="1" applyBorder="1" applyAlignment="1" applyProtection="1">
      <alignment horizontal="center"/>
      <protection/>
    </xf>
    <xf numFmtId="3" fontId="12" fillId="0" borderId="45" xfId="0" applyNumberFormat="1" applyFont="1" applyBorder="1" applyAlignment="1" applyProtection="1">
      <alignment horizontal="right"/>
      <protection/>
    </xf>
    <xf numFmtId="3" fontId="12" fillId="0" borderId="46" xfId="0" applyNumberFormat="1" applyFont="1" applyBorder="1" applyAlignment="1" applyProtection="1">
      <alignment horizontal="right"/>
      <protection/>
    </xf>
    <xf numFmtId="0" fontId="6" fillId="0" borderId="56" xfId="0" applyFont="1" applyBorder="1" applyAlignment="1" applyProtection="1">
      <alignment horizontal="center"/>
      <protection/>
    </xf>
    <xf numFmtId="3" fontId="12" fillId="0" borderId="22" xfId="0" applyNumberFormat="1" applyFont="1" applyBorder="1" applyAlignment="1" applyProtection="1">
      <alignment horizontal="right"/>
      <protection/>
    </xf>
    <xf numFmtId="3" fontId="12" fillId="0" borderId="13" xfId="0" applyNumberFormat="1" applyFont="1" applyBorder="1" applyAlignment="1" applyProtection="1">
      <alignment horizontal="right"/>
      <protection/>
    </xf>
    <xf numFmtId="0" fontId="6" fillId="0" borderId="57" xfId="0" applyFont="1" applyBorder="1" applyAlignment="1" applyProtection="1">
      <alignment horizontal="center"/>
      <protection/>
    </xf>
    <xf numFmtId="3" fontId="12" fillId="0" borderId="23" xfId="0" applyNumberFormat="1" applyFont="1" applyBorder="1" applyAlignment="1" applyProtection="1">
      <alignment horizontal="right"/>
      <protection/>
    </xf>
    <xf numFmtId="3" fontId="12" fillId="0" borderId="24" xfId="0" applyNumberFormat="1" applyFont="1" applyBorder="1" applyAlignment="1" applyProtection="1">
      <alignment horizontal="right"/>
      <protection/>
    </xf>
    <xf numFmtId="0" fontId="6" fillId="36" borderId="50" xfId="0" applyFont="1" applyFill="1" applyBorder="1" applyAlignment="1" applyProtection="1">
      <alignment horizontal="center"/>
      <protection/>
    </xf>
    <xf numFmtId="9" fontId="12" fillId="36" borderId="18" xfId="54" applyNumberFormat="1" applyFont="1" applyFill="1" applyBorder="1" applyAlignment="1" applyProtection="1">
      <alignment horizontal="center"/>
      <protection/>
    </xf>
    <xf numFmtId="9" fontId="12" fillId="36" borderId="19" xfId="54" applyNumberFormat="1" applyFont="1" applyFill="1" applyBorder="1" applyAlignment="1" applyProtection="1">
      <alignment horizontal="center"/>
      <protection/>
    </xf>
    <xf numFmtId="9" fontId="12" fillId="36" borderId="10" xfId="54" applyNumberFormat="1" applyFont="1" applyFill="1" applyBorder="1" applyAlignment="1" applyProtection="1">
      <alignment horizontal="center"/>
      <protection/>
    </xf>
    <xf numFmtId="0" fontId="6" fillId="34" borderId="50" xfId="0" applyFont="1" applyFill="1" applyBorder="1" applyAlignment="1" applyProtection="1">
      <alignment horizontal="center" vertical="center" wrapText="1"/>
      <protection/>
    </xf>
    <xf numFmtId="9" fontId="12" fillId="34" borderId="18" xfId="54" applyNumberFormat="1" applyFont="1" applyFill="1" applyBorder="1" applyAlignment="1" applyProtection="1">
      <alignment horizontal="center" vertical="center" wrapText="1"/>
      <protection/>
    </xf>
    <xf numFmtId="9" fontId="12" fillId="34" borderId="19" xfId="54" applyNumberFormat="1" applyFont="1" applyFill="1" applyBorder="1" applyAlignment="1" applyProtection="1">
      <alignment horizontal="center" vertical="center" wrapText="1"/>
      <protection/>
    </xf>
    <xf numFmtId="9" fontId="12" fillId="34" borderId="53" xfId="54" applyNumberFormat="1" applyFont="1" applyFill="1" applyBorder="1" applyAlignment="1" applyProtection="1">
      <alignment horizontal="center" vertical="center" wrapText="1"/>
      <protection/>
    </xf>
    <xf numFmtId="0" fontId="6" fillId="34" borderId="50" xfId="0" applyFont="1" applyFill="1" applyBorder="1" applyAlignment="1" applyProtection="1">
      <alignment horizontal="center" vertical="center"/>
      <protection/>
    </xf>
    <xf numFmtId="0" fontId="10" fillId="34" borderId="54" xfId="0" applyFont="1" applyFill="1" applyBorder="1" applyAlignment="1" applyProtection="1">
      <alignment horizontal="center" vertical="center" wrapText="1"/>
      <protection/>
    </xf>
    <xf numFmtId="9" fontId="8" fillId="34" borderId="31" xfId="54" applyNumberFormat="1" applyFont="1" applyFill="1" applyBorder="1" applyAlignment="1" applyProtection="1">
      <alignment horizontal="center" vertical="center" wrapText="1"/>
      <protection/>
    </xf>
    <xf numFmtId="9" fontId="8" fillId="34" borderId="32" xfId="54" applyNumberFormat="1" applyFont="1" applyFill="1" applyBorder="1" applyAlignment="1" applyProtection="1">
      <alignment horizontal="center" vertical="center" wrapText="1"/>
      <protection/>
    </xf>
    <xf numFmtId="9" fontId="8" fillId="34" borderId="10" xfId="54" applyNumberFormat="1" applyFont="1" applyFill="1" applyBorder="1" applyAlignment="1" applyProtection="1">
      <alignment horizontal="center" vertical="center" wrapText="1"/>
      <protection/>
    </xf>
    <xf numFmtId="0" fontId="10" fillId="34" borderId="50" xfId="0" applyFont="1" applyFill="1" applyBorder="1" applyAlignment="1" applyProtection="1">
      <alignment horizontal="center" vertical="center"/>
      <protection/>
    </xf>
    <xf numFmtId="0" fontId="6" fillId="37" borderId="50" xfId="0" applyFont="1" applyFill="1" applyBorder="1" applyAlignment="1" applyProtection="1">
      <alignment horizontal="center"/>
      <protection/>
    </xf>
    <xf numFmtId="3" fontId="12" fillId="37" borderId="14" xfId="0" applyNumberFormat="1" applyFont="1" applyFill="1" applyBorder="1" applyAlignment="1" applyProtection="1">
      <alignment horizontal="center"/>
      <protection/>
    </xf>
    <xf numFmtId="3" fontId="12" fillId="37" borderId="16" xfId="0" applyNumberFormat="1" applyFont="1" applyFill="1" applyBorder="1" applyAlignment="1" applyProtection="1">
      <alignment horizontal="center"/>
      <protection/>
    </xf>
    <xf numFmtId="3" fontId="12" fillId="37" borderId="43" xfId="0" applyNumberFormat="1" applyFont="1" applyFill="1" applyBorder="1" applyAlignment="1" applyProtection="1">
      <alignment horizontal="center"/>
      <protection/>
    </xf>
    <xf numFmtId="0" fontId="6" fillId="37" borderId="50" xfId="0" applyFont="1" applyFill="1" applyBorder="1" applyAlignment="1" applyProtection="1">
      <alignment horizontal="left"/>
      <protection/>
    </xf>
    <xf numFmtId="3" fontId="12" fillId="37" borderId="10" xfId="0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>
      <alignment/>
    </xf>
    <xf numFmtId="3" fontId="8" fillId="0" borderId="29" xfId="0" applyNumberFormat="1" applyFont="1" applyBorder="1" applyAlignment="1" applyProtection="1">
      <alignment horizontal="right"/>
      <protection/>
    </xf>
    <xf numFmtId="20" fontId="9" fillId="0" borderId="0" xfId="0" applyNumberFormat="1" applyFont="1" applyAlignment="1">
      <alignment/>
    </xf>
    <xf numFmtId="3" fontId="13" fillId="0" borderId="58" xfId="0" applyNumberFormat="1" applyFont="1" applyBorder="1" applyAlignment="1" applyProtection="1">
      <alignment horizontal="right"/>
      <protection/>
    </xf>
    <xf numFmtId="3" fontId="12" fillId="33" borderId="49" xfId="0" applyNumberFormat="1" applyFont="1" applyFill="1" applyBorder="1" applyAlignment="1" applyProtection="1">
      <alignment horizontal="right"/>
      <protection/>
    </xf>
    <xf numFmtId="0" fontId="6" fillId="37" borderId="50" xfId="0" applyFont="1" applyFill="1" applyBorder="1" applyAlignment="1" applyProtection="1">
      <alignment horizontal="left"/>
      <protection/>
    </xf>
    <xf numFmtId="3" fontId="13" fillId="37" borderId="18" xfId="0" applyNumberFormat="1" applyFont="1" applyFill="1" applyBorder="1" applyAlignment="1" applyProtection="1">
      <alignment horizontal="right"/>
      <protection/>
    </xf>
    <xf numFmtId="3" fontId="13" fillId="37" borderId="19" xfId="0" applyNumberFormat="1" applyFont="1" applyFill="1" applyBorder="1" applyAlignment="1" applyProtection="1">
      <alignment horizontal="right"/>
      <protection/>
    </xf>
    <xf numFmtId="3" fontId="13" fillId="33" borderId="18" xfId="0" applyNumberFormat="1" applyFont="1" applyFill="1" applyBorder="1" applyAlignment="1">
      <alignment horizontal="right" vertical="center"/>
    </xf>
    <xf numFmtId="3" fontId="13" fillId="33" borderId="19" xfId="0" applyNumberFormat="1" applyFont="1" applyFill="1" applyBorder="1" applyAlignment="1">
      <alignment horizontal="right" vertical="center"/>
    </xf>
    <xf numFmtId="3" fontId="12" fillId="33" borderId="53" xfId="0" applyNumberFormat="1" applyFont="1" applyFill="1" applyBorder="1" applyAlignment="1" applyProtection="1">
      <alignment horizontal="right" vertical="center"/>
      <protection/>
    </xf>
    <xf numFmtId="3" fontId="9" fillId="33" borderId="20" xfId="0" applyNumberFormat="1" applyFont="1" applyFill="1" applyBorder="1" applyAlignment="1">
      <alignment horizontal="right" vertical="center" wrapText="1"/>
    </xf>
    <xf numFmtId="3" fontId="8" fillId="0" borderId="28" xfId="0" applyNumberFormat="1" applyFont="1" applyBorder="1" applyAlignment="1" applyProtection="1">
      <alignment horizontal="right"/>
      <protection/>
    </xf>
    <xf numFmtId="3" fontId="8" fillId="0" borderId="21" xfId="0" applyNumberFormat="1" applyFont="1" applyBorder="1" applyAlignment="1" applyProtection="1">
      <alignment horizontal="right"/>
      <protection/>
    </xf>
    <xf numFmtId="3" fontId="8" fillId="0" borderId="59" xfId="0" applyNumberFormat="1" applyFont="1" applyBorder="1" applyAlignment="1" applyProtection="1">
      <alignment horizontal="right"/>
      <protection/>
    </xf>
    <xf numFmtId="3" fontId="9" fillId="0" borderId="60" xfId="0" applyNumberFormat="1" applyFont="1" applyBorder="1" applyAlignment="1" applyProtection="1">
      <alignment horizontal="right"/>
      <protection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65" fillId="0" borderId="0" xfId="0" applyNumberFormat="1" applyFont="1" applyBorder="1" applyAlignment="1">
      <alignment/>
    </xf>
    <xf numFmtId="10" fontId="9" fillId="0" borderId="0" xfId="0" applyNumberFormat="1" applyFont="1" applyAlignment="1">
      <alignment/>
    </xf>
    <xf numFmtId="188" fontId="15" fillId="0" borderId="0" xfId="0" applyNumberFormat="1" applyFont="1" applyFill="1" applyBorder="1" applyAlignment="1">
      <alignment horizontal="right" vertical="top"/>
    </xf>
    <xf numFmtId="0" fontId="17" fillId="0" borderId="61" xfId="0" applyFont="1" applyBorder="1" applyAlignment="1">
      <alignment horizontal="center" wrapText="1"/>
    </xf>
    <xf numFmtId="0" fontId="17" fillId="0" borderId="62" xfId="0" applyFont="1" applyBorder="1" applyAlignment="1">
      <alignment horizontal="center" wrapText="1"/>
    </xf>
    <xf numFmtId="0" fontId="17" fillId="0" borderId="63" xfId="0" applyFont="1" applyBorder="1" applyAlignment="1">
      <alignment horizontal="left" vertical="top" wrapText="1"/>
    </xf>
    <xf numFmtId="188" fontId="17" fillId="0" borderId="64" xfId="0" applyNumberFormat="1" applyFont="1" applyBorder="1" applyAlignment="1">
      <alignment horizontal="right" vertical="top"/>
    </xf>
    <xf numFmtId="188" fontId="17" fillId="0" borderId="65" xfId="0" applyNumberFormat="1" applyFont="1" applyBorder="1" applyAlignment="1">
      <alignment horizontal="right" vertical="top"/>
    </xf>
    <xf numFmtId="188" fontId="17" fillId="0" borderId="66" xfId="0" applyNumberFormat="1" applyFont="1" applyBorder="1" applyAlignment="1">
      <alignment horizontal="right" vertical="top"/>
    </xf>
    <xf numFmtId="0" fontId="17" fillId="0" borderId="67" xfId="0" applyFont="1" applyBorder="1" applyAlignment="1">
      <alignment horizontal="left" vertical="top" wrapText="1"/>
    </xf>
    <xf numFmtId="188" fontId="17" fillId="0" borderId="68" xfId="0" applyNumberFormat="1" applyFont="1" applyBorder="1" applyAlignment="1">
      <alignment horizontal="right" vertical="top"/>
    </xf>
    <xf numFmtId="188" fontId="17" fillId="0" borderId="69" xfId="0" applyNumberFormat="1" applyFont="1" applyBorder="1" applyAlignment="1">
      <alignment horizontal="right" vertical="top"/>
    </xf>
    <xf numFmtId="188" fontId="17" fillId="0" borderId="70" xfId="0" applyNumberFormat="1" applyFont="1" applyBorder="1" applyAlignment="1">
      <alignment horizontal="right" vertical="top"/>
    </xf>
    <xf numFmtId="188" fontId="17" fillId="0" borderId="71" xfId="0" applyNumberFormat="1" applyFont="1" applyBorder="1" applyAlignment="1">
      <alignment horizontal="right" vertical="top"/>
    </xf>
    <xf numFmtId="188" fontId="17" fillId="0" borderId="72" xfId="0" applyNumberFormat="1" applyFont="1" applyBorder="1" applyAlignment="1">
      <alignment horizontal="right" vertical="top"/>
    </xf>
    <xf numFmtId="188" fontId="17" fillId="0" borderId="73" xfId="0" applyNumberFormat="1" applyFont="1" applyBorder="1" applyAlignment="1">
      <alignment horizontal="right" vertical="top"/>
    </xf>
    <xf numFmtId="0" fontId="17" fillId="0" borderId="74" xfId="0" applyFont="1" applyBorder="1" applyAlignment="1">
      <alignment horizontal="left" vertical="top" wrapText="1"/>
    </xf>
    <xf numFmtId="188" fontId="17" fillId="0" borderId="75" xfId="0" applyNumberFormat="1" applyFont="1" applyBorder="1" applyAlignment="1">
      <alignment horizontal="right" vertical="top"/>
    </xf>
    <xf numFmtId="188" fontId="17" fillId="0" borderId="76" xfId="0" applyNumberFormat="1" applyFont="1" applyBorder="1" applyAlignment="1">
      <alignment horizontal="right" vertical="top"/>
    </xf>
    <xf numFmtId="188" fontId="17" fillId="0" borderId="77" xfId="0" applyNumberFormat="1" applyFont="1" applyBorder="1" applyAlignment="1">
      <alignment horizontal="right" vertical="top"/>
    </xf>
    <xf numFmtId="0" fontId="10" fillId="0" borderId="45" xfId="0" applyFont="1" applyBorder="1" applyAlignment="1" applyProtection="1">
      <alignment horizontal="left"/>
      <protection/>
    </xf>
    <xf numFmtId="0" fontId="10" fillId="0" borderId="46" xfId="0" applyFont="1" applyBorder="1" applyAlignment="1" applyProtection="1">
      <alignment horizontal="left"/>
      <protection/>
    </xf>
    <xf numFmtId="0" fontId="10" fillId="0" borderId="78" xfId="0" applyFont="1" applyBorder="1" applyAlignment="1" applyProtection="1">
      <alignment horizontal="left"/>
      <protection/>
    </xf>
    <xf numFmtId="0" fontId="10" fillId="0" borderId="29" xfId="0" applyFont="1" applyBorder="1" applyAlignment="1" applyProtection="1">
      <alignment horizontal="left"/>
      <protection/>
    </xf>
    <xf numFmtId="0" fontId="10" fillId="0" borderId="30" xfId="0" applyFont="1" applyBorder="1" applyAlignment="1" applyProtection="1">
      <alignment horizontal="left"/>
      <protection/>
    </xf>
    <xf numFmtId="0" fontId="10" fillId="0" borderId="79" xfId="0" applyFont="1" applyBorder="1" applyAlignment="1" applyProtection="1">
      <alignment horizontal="left"/>
      <protection/>
    </xf>
    <xf numFmtId="0" fontId="11" fillId="34" borderId="40" xfId="0" applyFont="1" applyFill="1" applyBorder="1" applyAlignment="1" applyProtection="1">
      <alignment horizontal="center" vertical="center" textRotation="255"/>
      <protection/>
    </xf>
    <xf numFmtId="0" fontId="11" fillId="34" borderId="38" xfId="0" applyFont="1" applyFill="1" applyBorder="1" applyAlignment="1" applyProtection="1">
      <alignment horizontal="center" vertical="center" textRotation="255"/>
      <protection/>
    </xf>
    <xf numFmtId="0" fontId="11" fillId="34" borderId="39" xfId="0" applyFont="1" applyFill="1" applyBorder="1" applyAlignment="1" applyProtection="1">
      <alignment horizontal="center" vertical="center" textRotation="255"/>
      <protection/>
    </xf>
    <xf numFmtId="0" fontId="10" fillId="0" borderId="26" xfId="0" applyFont="1" applyBorder="1" applyAlignment="1" applyProtection="1">
      <alignment horizontal="left"/>
      <protection/>
    </xf>
    <xf numFmtId="0" fontId="10" fillId="0" borderId="80" xfId="0" applyFont="1" applyBorder="1" applyAlignment="1" applyProtection="1">
      <alignment horizontal="left"/>
      <protection/>
    </xf>
    <xf numFmtId="0" fontId="10" fillId="0" borderId="22" xfId="0" applyFont="1" applyBorder="1" applyAlignment="1" applyProtection="1">
      <alignment horizontal="left"/>
      <protection/>
    </xf>
    <xf numFmtId="0" fontId="10" fillId="0" borderId="13" xfId="0" applyFont="1" applyBorder="1" applyAlignment="1" applyProtection="1">
      <alignment horizontal="left"/>
      <protection/>
    </xf>
    <xf numFmtId="0" fontId="10" fillId="0" borderId="21" xfId="0" applyFont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 vertical="center" wrapText="1"/>
      <protection/>
    </xf>
    <xf numFmtId="0" fontId="10" fillId="33" borderId="20" xfId="0" applyFont="1" applyFill="1" applyBorder="1" applyAlignment="1" applyProtection="1">
      <alignment horizontal="left" vertical="center" wrapText="1"/>
      <protection/>
    </xf>
    <xf numFmtId="0" fontId="10" fillId="0" borderId="18" xfId="0" applyFont="1" applyBorder="1" applyAlignment="1" applyProtection="1">
      <alignment horizontal="left"/>
      <protection/>
    </xf>
    <xf numFmtId="0" fontId="10" fillId="0" borderId="20" xfId="0" applyFont="1" applyBorder="1" applyAlignment="1" applyProtection="1">
      <alignment horizontal="left"/>
      <protection/>
    </xf>
    <xf numFmtId="0" fontId="10" fillId="0" borderId="18" xfId="0" applyFont="1" applyBorder="1" applyAlignment="1" applyProtection="1">
      <alignment horizontal="left" vertical="center"/>
      <protection/>
    </xf>
    <xf numFmtId="0" fontId="10" fillId="0" borderId="20" xfId="0" applyFont="1" applyBorder="1" applyAlignment="1" applyProtection="1">
      <alignment horizontal="left" vertical="center"/>
      <protection/>
    </xf>
    <xf numFmtId="0" fontId="10" fillId="0" borderId="14" xfId="0" applyFont="1" applyBorder="1" applyAlignment="1" applyProtection="1">
      <alignment horizontal="left"/>
      <protection/>
    </xf>
    <xf numFmtId="0" fontId="10" fillId="0" borderId="81" xfId="0" applyFont="1" applyBorder="1" applyAlignment="1" applyProtection="1">
      <alignment horizontal="left"/>
      <protection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10" fillId="34" borderId="18" xfId="0" applyFont="1" applyFill="1" applyBorder="1" applyAlignment="1" applyProtection="1">
      <alignment horizontal="center" vertical="center"/>
      <protection/>
    </xf>
    <xf numFmtId="0" fontId="10" fillId="34" borderId="19" xfId="0" applyFont="1" applyFill="1" applyBorder="1" applyAlignment="1" applyProtection="1">
      <alignment horizontal="center" vertical="center"/>
      <protection/>
    </xf>
    <xf numFmtId="0" fontId="10" fillId="34" borderId="20" xfId="0" applyFont="1" applyFill="1" applyBorder="1" applyAlignment="1" applyProtection="1">
      <alignment horizontal="center" vertical="center"/>
      <protection/>
    </xf>
    <xf numFmtId="0" fontId="10" fillId="0" borderId="37" xfId="0" applyFont="1" applyBorder="1" applyAlignment="1" applyProtection="1">
      <alignment horizontal="left" vertical="center"/>
      <protection/>
    </xf>
    <xf numFmtId="0" fontId="10" fillId="0" borderId="36" xfId="0" applyFont="1" applyBorder="1" applyAlignment="1" applyProtection="1">
      <alignment horizontal="left" vertical="center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19" xfId="0" applyFont="1" applyFill="1" applyBorder="1" applyAlignment="1" applyProtection="1">
      <alignment horizontal="left"/>
      <protection/>
    </xf>
    <xf numFmtId="0" fontId="10" fillId="33" borderId="20" xfId="0" applyFont="1" applyFill="1" applyBorder="1" applyAlignment="1" applyProtection="1">
      <alignment horizontal="left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82" xfId="0" applyFont="1" applyBorder="1" applyAlignment="1" applyProtection="1">
      <alignment horizontal="left"/>
      <protection/>
    </xf>
    <xf numFmtId="0" fontId="10" fillId="0" borderId="23" xfId="0" applyFont="1" applyBorder="1" applyAlignment="1" applyProtection="1">
      <alignment horizontal="left"/>
      <protection/>
    </xf>
    <xf numFmtId="0" fontId="10" fillId="0" borderId="83" xfId="0" applyFont="1" applyBorder="1" applyAlignment="1" applyProtection="1">
      <alignment horizontal="left"/>
      <protection/>
    </xf>
    <xf numFmtId="0" fontId="10" fillId="0" borderId="41" xfId="0" applyFont="1" applyBorder="1" applyAlignment="1" applyProtection="1">
      <alignment horizontal="center" vertical="center"/>
      <protection/>
    </xf>
    <xf numFmtId="0" fontId="11" fillId="34" borderId="41" xfId="0" applyFont="1" applyFill="1" applyBorder="1" applyAlignment="1" applyProtection="1">
      <alignment horizontal="center" vertical="center" textRotation="255"/>
      <protection/>
    </xf>
    <xf numFmtId="0" fontId="11" fillId="34" borderId="42" xfId="0" applyFont="1" applyFill="1" applyBorder="1" applyAlignment="1" applyProtection="1">
      <alignment horizontal="center" vertical="center" textRotation="255"/>
      <protection/>
    </xf>
    <xf numFmtId="0" fontId="10" fillId="0" borderId="33" xfId="0" applyFont="1" applyBorder="1" applyAlignment="1" applyProtection="1">
      <alignment horizontal="left" vertical="center"/>
      <protection/>
    </xf>
    <xf numFmtId="0" fontId="10" fillId="0" borderId="35" xfId="0" applyFont="1" applyBorder="1" applyAlignment="1" applyProtection="1">
      <alignment horizontal="left" vertical="center"/>
      <protection/>
    </xf>
    <xf numFmtId="0" fontId="10" fillId="0" borderId="24" xfId="0" applyFont="1" applyBorder="1" applyAlignment="1" applyProtection="1">
      <alignment horizontal="left"/>
      <protection/>
    </xf>
    <xf numFmtId="0" fontId="10" fillId="0" borderId="25" xfId="0" applyFont="1" applyBorder="1" applyAlignment="1" applyProtection="1">
      <alignment horizontal="left"/>
      <protection/>
    </xf>
    <xf numFmtId="0" fontId="10" fillId="34" borderId="18" xfId="0" applyFont="1" applyFill="1" applyBorder="1" applyAlignment="1" applyProtection="1">
      <alignment horizontal="left" vertical="center" wrapText="1"/>
      <protection/>
    </xf>
    <xf numFmtId="0" fontId="10" fillId="34" borderId="19" xfId="0" applyFont="1" applyFill="1" applyBorder="1" applyAlignment="1" applyProtection="1">
      <alignment horizontal="left" vertical="center" wrapText="1"/>
      <protection/>
    </xf>
    <xf numFmtId="0" fontId="10" fillId="34" borderId="20" xfId="0" applyFont="1" applyFill="1" applyBorder="1" applyAlignment="1" applyProtection="1">
      <alignment horizontal="left" vertical="center" wrapText="1"/>
      <protection/>
    </xf>
    <xf numFmtId="0" fontId="10" fillId="36" borderId="14" xfId="0" applyFont="1" applyFill="1" applyBorder="1" applyAlignment="1" applyProtection="1">
      <alignment horizontal="left"/>
      <protection/>
    </xf>
    <xf numFmtId="0" fontId="10" fillId="36" borderId="16" xfId="0" applyFont="1" applyFill="1" applyBorder="1" applyAlignment="1" applyProtection="1">
      <alignment horizontal="lef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5" borderId="14" xfId="0" applyFont="1" applyFill="1" applyBorder="1" applyAlignment="1" applyProtection="1">
      <alignment horizontal="left"/>
      <protection/>
    </xf>
    <xf numFmtId="0" fontId="10" fillId="35" borderId="84" xfId="0" applyFont="1" applyFill="1" applyBorder="1" applyAlignment="1" applyProtection="1">
      <alignment horizontal="left"/>
      <protection/>
    </xf>
    <xf numFmtId="0" fontId="10" fillId="0" borderId="42" xfId="0" applyFont="1" applyBorder="1" applyAlignment="1" applyProtection="1">
      <alignment horizontal="center" vertical="center"/>
      <protection/>
    </xf>
    <xf numFmtId="0" fontId="10" fillId="37" borderId="33" xfId="0" applyFont="1" applyFill="1" applyBorder="1" applyAlignment="1" applyProtection="1">
      <alignment horizontal="left" vertical="center"/>
      <protection/>
    </xf>
    <xf numFmtId="0" fontId="10" fillId="37" borderId="36" xfId="0" applyFont="1" applyFill="1" applyBorder="1" applyAlignment="1" applyProtection="1">
      <alignment horizontal="left" vertical="center"/>
      <protection/>
    </xf>
    <xf numFmtId="0" fontId="10" fillId="0" borderId="47" xfId="0" applyFont="1" applyBorder="1" applyAlignment="1" applyProtection="1">
      <alignment horizontal="left"/>
      <protection/>
    </xf>
    <xf numFmtId="0" fontId="0" fillId="0" borderId="0" xfId="0" applyFill="1" applyBorder="1" applyAlignment="1">
      <alignment horizontal="center"/>
    </xf>
    <xf numFmtId="0" fontId="6" fillId="0" borderId="50" xfId="0" applyFont="1" applyBorder="1" applyAlignment="1" applyProtection="1">
      <alignment horizontal="left"/>
      <protection/>
    </xf>
    <xf numFmtId="0" fontId="6" fillId="0" borderId="85" xfId="0" applyFont="1" applyBorder="1" applyAlignment="1" applyProtection="1">
      <alignment horizontal="left"/>
      <protection/>
    </xf>
    <xf numFmtId="0" fontId="7" fillId="0" borderId="0" xfId="0" applyFont="1" applyBorder="1" applyAlignment="1">
      <alignment horizontal="left"/>
    </xf>
    <xf numFmtId="0" fontId="6" fillId="37" borderId="49" xfId="0" applyFont="1" applyFill="1" applyBorder="1" applyAlignment="1" applyProtection="1">
      <alignment horizontal="left" vertical="center"/>
      <protection/>
    </xf>
    <xf numFmtId="0" fontId="6" fillId="37" borderId="43" xfId="0" applyFont="1" applyFill="1" applyBorder="1" applyAlignment="1" applyProtection="1">
      <alignment horizontal="left" vertical="center"/>
      <protection/>
    </xf>
    <xf numFmtId="0" fontId="6" fillId="34" borderId="50" xfId="0" applyFont="1" applyFill="1" applyBorder="1" applyAlignment="1" applyProtection="1">
      <alignment horizontal="center" vertical="center"/>
      <protection/>
    </xf>
    <xf numFmtId="0" fontId="6" fillId="34" borderId="85" xfId="0" applyFont="1" applyFill="1" applyBorder="1" applyAlignment="1" applyProtection="1">
      <alignment horizontal="center" vertical="center"/>
      <protection/>
    </xf>
    <xf numFmtId="0" fontId="6" fillId="34" borderId="44" xfId="0" applyFont="1" applyFill="1" applyBorder="1" applyAlignment="1" applyProtection="1">
      <alignment horizontal="center" vertical="center"/>
      <protection/>
    </xf>
    <xf numFmtId="0" fontId="6" fillId="37" borderId="50" xfId="0" applyFont="1" applyFill="1" applyBorder="1" applyAlignment="1" applyProtection="1">
      <alignment horizontal="left" vertical="center" wrapText="1"/>
      <protection/>
    </xf>
    <xf numFmtId="0" fontId="6" fillId="33" borderId="44" xfId="0" applyFont="1" applyFill="1" applyBorder="1" applyAlignment="1" applyProtection="1">
      <alignment horizontal="left" vertical="center" wrapText="1"/>
      <protection/>
    </xf>
    <xf numFmtId="0" fontId="6" fillId="37" borderId="50" xfId="0" applyFont="1" applyFill="1" applyBorder="1" applyAlignment="1" applyProtection="1">
      <alignment horizontal="left"/>
      <protection/>
    </xf>
    <xf numFmtId="0" fontId="6" fillId="33" borderId="85" xfId="0" applyFont="1" applyFill="1" applyBorder="1" applyAlignment="1" applyProtection="1">
      <alignment horizontal="left"/>
      <protection/>
    </xf>
    <xf numFmtId="0" fontId="6" fillId="0" borderId="44" xfId="0" applyFont="1" applyBorder="1" applyAlignment="1" applyProtection="1">
      <alignment horizontal="left"/>
      <protection/>
    </xf>
    <xf numFmtId="0" fontId="14" fillId="38" borderId="49" xfId="0" applyFont="1" applyFill="1" applyBorder="1" applyAlignment="1" applyProtection="1">
      <alignment horizontal="center" vertical="center" textRotation="255"/>
      <protection/>
    </xf>
    <xf numFmtId="0" fontId="14" fillId="38" borderId="53" xfId="0" applyFont="1" applyFill="1" applyBorder="1" applyAlignment="1" applyProtection="1">
      <alignment horizontal="center" vertical="center" textRotation="255"/>
      <protection/>
    </xf>
    <xf numFmtId="0" fontId="14" fillId="38" borderId="43" xfId="0" applyFont="1" applyFill="1" applyBorder="1" applyAlignment="1" applyProtection="1">
      <alignment horizontal="center" vertical="center" textRotation="255"/>
      <protection/>
    </xf>
    <xf numFmtId="0" fontId="6" fillId="0" borderId="49" xfId="0" applyFont="1" applyBorder="1" applyAlignment="1" applyProtection="1">
      <alignment horizontal="left" vertical="center"/>
      <protection/>
    </xf>
    <xf numFmtId="0" fontId="6" fillId="0" borderId="43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0" borderId="86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6" fillId="36" borderId="50" xfId="0" applyFont="1" applyFill="1" applyBorder="1" applyAlignment="1" applyProtection="1">
      <alignment horizontal="left"/>
      <protection/>
    </xf>
    <xf numFmtId="0" fontId="6" fillId="36" borderId="85" xfId="0" applyFont="1" applyFill="1" applyBorder="1" applyAlignment="1" applyProtection="1">
      <alignment horizontal="left"/>
      <protection/>
    </xf>
    <xf numFmtId="0" fontId="6" fillId="37" borderId="44" xfId="0" applyFont="1" applyFill="1" applyBorder="1" applyAlignment="1" applyProtection="1">
      <alignment horizontal="left"/>
      <protection/>
    </xf>
    <xf numFmtId="0" fontId="6" fillId="0" borderId="41" xfId="0" applyFont="1" applyBorder="1" applyAlignment="1" applyProtection="1">
      <alignment horizontal="left"/>
      <protection/>
    </xf>
    <xf numFmtId="0" fontId="6" fillId="0" borderId="87" xfId="0" applyFont="1" applyBorder="1" applyAlignment="1" applyProtection="1">
      <alignment horizontal="left"/>
      <protection/>
    </xf>
    <xf numFmtId="0" fontId="6" fillId="0" borderId="38" xfId="0" applyFont="1" applyBorder="1" applyAlignment="1" applyProtection="1">
      <alignment horizontal="left"/>
      <protection/>
    </xf>
    <xf numFmtId="0" fontId="6" fillId="0" borderId="88" xfId="0" applyFont="1" applyBorder="1" applyAlignment="1" applyProtection="1">
      <alignment horizontal="left"/>
      <protection/>
    </xf>
    <xf numFmtId="0" fontId="6" fillId="0" borderId="42" xfId="0" applyFont="1" applyBorder="1" applyAlignment="1" applyProtection="1">
      <alignment horizontal="left"/>
      <protection/>
    </xf>
    <xf numFmtId="0" fontId="6" fillId="0" borderId="89" xfId="0" applyFont="1" applyBorder="1" applyAlignment="1" applyProtection="1">
      <alignment horizontal="left"/>
      <protection/>
    </xf>
    <xf numFmtId="0" fontId="6" fillId="34" borderId="50" xfId="0" applyFont="1" applyFill="1" applyBorder="1" applyAlignment="1" applyProtection="1">
      <alignment horizontal="left" vertical="center" wrapText="1"/>
      <protection/>
    </xf>
    <xf numFmtId="0" fontId="6" fillId="34" borderId="85" xfId="0" applyFont="1" applyFill="1" applyBorder="1" applyAlignment="1" applyProtection="1">
      <alignment horizontal="left" vertical="center" wrapText="1"/>
      <protection/>
    </xf>
    <xf numFmtId="0" fontId="6" fillId="0" borderId="90" xfId="0" applyFont="1" applyBorder="1" applyAlignment="1" applyProtection="1">
      <alignment horizontal="center" vertical="center"/>
      <protection/>
    </xf>
    <xf numFmtId="0" fontId="17" fillId="0" borderId="91" xfId="0" applyFont="1" applyBorder="1" applyAlignment="1">
      <alignment horizontal="left" vertical="top" wrapText="1"/>
    </xf>
    <xf numFmtId="0" fontId="13" fillId="0" borderId="92" xfId="0" applyFont="1" applyBorder="1" applyAlignment="1">
      <alignment horizontal="center" vertical="center"/>
    </xf>
    <xf numFmtId="0" fontId="13" fillId="0" borderId="93" xfId="0" applyFont="1" applyBorder="1" applyAlignment="1">
      <alignment horizontal="center" vertical="center"/>
    </xf>
    <xf numFmtId="0" fontId="17" fillId="0" borderId="94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/>
    </xf>
    <xf numFmtId="0" fontId="17" fillId="0" borderId="95" xfId="0" applyFont="1" applyBorder="1" applyAlignment="1">
      <alignment horizontal="left" vertical="top" wrapText="1"/>
    </xf>
    <xf numFmtId="0" fontId="13" fillId="0" borderId="9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/>
    </xf>
    <xf numFmtId="0" fontId="17" fillId="0" borderId="96" xfId="0" applyFont="1" applyBorder="1" applyAlignment="1">
      <alignment horizontal="left" wrapText="1"/>
    </xf>
    <xf numFmtId="0" fontId="13" fillId="0" borderId="97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98" xfId="0" applyFont="1" applyBorder="1" applyAlignment="1">
      <alignment horizontal="center" vertical="center"/>
    </xf>
    <xf numFmtId="0" fontId="13" fillId="0" borderId="99" xfId="0" applyFont="1" applyBorder="1" applyAlignment="1">
      <alignment horizontal="center" vertical="center"/>
    </xf>
    <xf numFmtId="0" fontId="13" fillId="0" borderId="100" xfId="0" applyFont="1" applyBorder="1" applyAlignment="1">
      <alignment horizontal="center" vertical="center"/>
    </xf>
    <xf numFmtId="0" fontId="17" fillId="0" borderId="101" xfId="0" applyFont="1" applyBorder="1" applyAlignment="1">
      <alignment horizontal="center" wrapText="1"/>
    </xf>
    <xf numFmtId="0" fontId="13" fillId="0" borderId="102" xfId="0" applyFont="1" applyBorder="1" applyAlignment="1">
      <alignment horizontal="center" vertical="center"/>
    </xf>
    <xf numFmtId="0" fontId="13" fillId="0" borderId="103" xfId="0" applyFont="1" applyBorder="1" applyAlignment="1">
      <alignment horizontal="center" vertical="center"/>
    </xf>
    <xf numFmtId="0" fontId="17" fillId="0" borderId="104" xfId="0" applyFont="1" applyBorder="1" applyAlignment="1">
      <alignment horizontal="center" wrapText="1"/>
    </xf>
    <xf numFmtId="0" fontId="13" fillId="0" borderId="105" xfId="0" applyFont="1" applyBorder="1" applyAlignment="1">
      <alignment horizontal="center" vertical="center"/>
    </xf>
    <xf numFmtId="0" fontId="17" fillId="0" borderId="106" xfId="0" applyFont="1" applyBorder="1" applyAlignment="1">
      <alignment horizontal="left" vertical="top" wrapText="1"/>
    </xf>
    <xf numFmtId="0" fontId="17" fillId="0" borderId="97" xfId="0" applyFont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CUMPLIMIENTO VUELOS - EMPRESAS NACIONALES JUL. 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0000FF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'[2]JUL 09'!$E$4:$J$4</c:f>
              <c:strCache>
                <c:ptCount val="6"/>
                <c:pt idx="0">
                  <c:v>ADA</c:v>
                </c:pt>
                <c:pt idx="1">
                  <c:v>AEROREPUBLICA</c:v>
                </c:pt>
                <c:pt idx="2">
                  <c:v>AIRES</c:v>
                </c:pt>
                <c:pt idx="3">
                  <c:v>AVIANCA</c:v>
                </c:pt>
                <c:pt idx="4">
                  <c:v>EASYFLY</c:v>
                </c:pt>
                <c:pt idx="5">
                  <c:v>SAM</c:v>
                </c:pt>
              </c:strCache>
            </c:strRef>
          </c:cat>
          <c:val>
            <c:numRef>
              <c:f>'[2]JUL 09'!$E$28:$J$28</c:f>
              <c:numCache>
                <c:ptCount val="6"/>
                <c:pt idx="0">
                  <c:v>0.7609384908053266</c:v>
                </c:pt>
                <c:pt idx="1">
                  <c:v>0.9526970954356846</c:v>
                </c:pt>
                <c:pt idx="2">
                  <c:v>0.8588158750813273</c:v>
                </c:pt>
                <c:pt idx="3">
                  <c:v>0.9542772861356932</c:v>
                </c:pt>
                <c:pt idx="4">
                  <c:v>0.9324861000794281</c:v>
                </c:pt>
                <c:pt idx="5">
                  <c:v>0.9296322489391796</c:v>
                </c:pt>
              </c:numCache>
            </c:numRef>
          </c:val>
        </c:ser>
        <c:gapWidth val="90"/>
        <c:axId val="1022580"/>
        <c:axId val="9203221"/>
      </c:barChart>
      <c:catAx>
        <c:axId val="1022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1" i="0" u="none" baseline="0">
                <a:solidFill>
                  <a:srgbClr val="000000"/>
                </a:solidFill>
              </a:defRPr>
            </a:pPr>
          </a:p>
        </c:txPr>
        <c:crossAx val="9203221"/>
        <c:crosses val="autoZero"/>
        <c:auto val="1"/>
        <c:lblOffset val="100"/>
        <c:tickLblSkip val="1"/>
        <c:noMultiLvlLbl val="0"/>
      </c:catAx>
      <c:valAx>
        <c:axId val="920322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1022580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CFDFF"/>
        </a:gs>
        <a:gs pos="100000">
          <a:srgbClr val="99CCFF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CUMPLIMIENTO VUELOS - EMPRESAS INTERNACIONALES (JULIO 2009)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'[1]JUL 09'!$E$4:$AB$4</c:f>
              <c:strCache>
                <c:ptCount val="24"/>
                <c:pt idx="0">
                  <c:v>A.ARGENTINAS</c:v>
                </c:pt>
                <c:pt idx="1">
                  <c:v>A. GALAPAGOS</c:v>
                </c:pt>
                <c:pt idx="2">
                  <c:v>AEROREPUBLICA</c:v>
                </c:pt>
                <c:pt idx="3">
                  <c:v>AI R E S</c:v>
                </c:pt>
                <c:pt idx="4">
                  <c:v>AIR  CANADA</c:v>
                </c:pt>
                <c:pt idx="5">
                  <c:v>AIR  FRANCE</c:v>
                </c:pt>
                <c:pt idx="6">
                  <c:v>AIR COMET</c:v>
                </c:pt>
                <c:pt idx="7">
                  <c:v>AMERICAN</c:v>
                </c:pt>
                <c:pt idx="8">
                  <c:v>AVIANCA</c:v>
                </c:pt>
                <c:pt idx="9">
                  <c:v>CONTINENTAL</c:v>
                </c:pt>
                <c:pt idx="10">
                  <c:v>COPA</c:v>
                </c:pt>
                <c:pt idx="11">
                  <c:v>CUBANA</c:v>
                </c:pt>
                <c:pt idx="12">
                  <c:v>DELTA</c:v>
                </c:pt>
                <c:pt idx="13">
                  <c:v>DUTCH</c:v>
                </c:pt>
                <c:pt idx="14">
                  <c:v>IBERIA</c:v>
                </c:pt>
                <c:pt idx="15">
                  <c:v>LACSA</c:v>
                </c:pt>
                <c:pt idx="16">
                  <c:v>LAN  PERU</c:v>
                </c:pt>
                <c:pt idx="17">
                  <c:v>LAN CHILE</c:v>
                </c:pt>
                <c:pt idx="18">
                  <c:v>MEXICANA </c:v>
                </c:pt>
                <c:pt idx="19">
                  <c:v>SAM</c:v>
                </c:pt>
                <c:pt idx="20">
                  <c:v>SPIRIT</c:v>
                </c:pt>
                <c:pt idx="21">
                  <c:v>TACA  PERU</c:v>
                </c:pt>
                <c:pt idx="22">
                  <c:v>TAME</c:v>
                </c:pt>
                <c:pt idx="23">
                  <c:v>VARIG</c:v>
                </c:pt>
              </c:strCache>
            </c:strRef>
          </c:cat>
          <c:val>
            <c:numRef>
              <c:f>'[1]JUL 09'!$E$28:$AB$28</c:f>
              <c:numCache>
                <c:ptCount val="24"/>
                <c:pt idx="0">
                  <c:v>0.7142857142857143</c:v>
                </c:pt>
                <c:pt idx="1">
                  <c:v>0.967741935483871</c:v>
                </c:pt>
                <c:pt idx="2">
                  <c:v>0.9572192513368984</c:v>
                </c:pt>
                <c:pt idx="3">
                  <c:v>0.7906976744186046</c:v>
                </c:pt>
                <c:pt idx="4">
                  <c:v>0.3076923076923077</c:v>
                </c:pt>
                <c:pt idx="5">
                  <c:v>1</c:v>
                </c:pt>
                <c:pt idx="6">
                  <c:v>0.8461538461538461</c:v>
                </c:pt>
                <c:pt idx="7">
                  <c:v>0.7419354838709677</c:v>
                </c:pt>
                <c:pt idx="8">
                  <c:v>0.9447322970639033</c:v>
                </c:pt>
                <c:pt idx="9">
                  <c:v>0.946236559139785</c:v>
                </c:pt>
                <c:pt idx="10">
                  <c:v>0.9769585253456221</c:v>
                </c:pt>
                <c:pt idx="11">
                  <c:v>1</c:v>
                </c:pt>
                <c:pt idx="12">
                  <c:v>0.8269230769230769</c:v>
                </c:pt>
                <c:pt idx="13">
                  <c:v>0.7777777777777778</c:v>
                </c:pt>
                <c:pt idx="14">
                  <c:v>0.2708333333333333</c:v>
                </c:pt>
                <c:pt idx="15">
                  <c:v>1</c:v>
                </c:pt>
                <c:pt idx="16">
                  <c:v>0.975</c:v>
                </c:pt>
                <c:pt idx="17">
                  <c:v>0</c:v>
                </c:pt>
                <c:pt idx="18">
                  <c:v>0.8571428571428571</c:v>
                </c:pt>
                <c:pt idx="19">
                  <c:v>0.9069767441860465</c:v>
                </c:pt>
                <c:pt idx="20">
                  <c:v>0.8111111111111111</c:v>
                </c:pt>
                <c:pt idx="21">
                  <c:v>1</c:v>
                </c:pt>
                <c:pt idx="22">
                  <c:v>0</c:v>
                </c:pt>
                <c:pt idx="23">
                  <c:v>0.6428571428571429</c:v>
                </c:pt>
              </c:numCache>
            </c:numRef>
          </c:val>
        </c:ser>
        <c:gapWidth val="30"/>
        <c:axId val="15720126"/>
        <c:axId val="7263407"/>
      </c:barChart>
      <c:catAx>
        <c:axId val="157201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63407"/>
        <c:crosses val="autoZero"/>
        <c:auto val="1"/>
        <c:lblOffset val="100"/>
        <c:tickLblSkip val="12"/>
        <c:noMultiLvlLbl val="0"/>
      </c:catAx>
      <c:valAx>
        <c:axId val="7263407"/>
        <c:scaling>
          <c:orientation val="minMax"/>
          <c:max val="1.1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20126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CUMPLIMIENTO DE SERVICIOS DE VUELOS INTERNACIONALES JULIO 2009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'[1]JUL 09'!$D$46:$F$46</c:f>
              <c:strCache>
                <c:ptCount val="3"/>
                <c:pt idx="0">
                  <c:v> Cumplidos</c:v>
                </c:pt>
                <c:pt idx="1">
                  <c:v> Demorados</c:v>
                </c:pt>
                <c:pt idx="2">
                  <c:v>Cancelados</c:v>
                </c:pt>
              </c:strCache>
            </c:strRef>
          </c:cat>
          <c:val>
            <c:numRef>
              <c:f>'[1]JUL 09'!$D$47:$F$47</c:f>
              <c:numCache>
                <c:ptCount val="3"/>
                <c:pt idx="0">
                  <c:v>84.0677966101695</c:v>
                </c:pt>
                <c:pt idx="1">
                  <c:v>15.796610169491526</c:v>
                </c:pt>
                <c:pt idx="2">
                  <c:v>0.13559322033898305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'[1]JUL 09'!$D$46:$F$46</c:f>
              <c:strCache>
                <c:ptCount val="3"/>
                <c:pt idx="0">
                  <c:v> Cumplidos</c:v>
                </c:pt>
                <c:pt idx="1">
                  <c:v> Demorados</c:v>
                </c:pt>
                <c:pt idx="2">
                  <c:v>Cancelados</c:v>
                </c:pt>
              </c:strCache>
            </c:strRef>
          </c:cat>
          <c:val>
            <c:numRef>
              <c:f>'[1]JUL 09'!$D$48:$F$48</c:f>
              <c:numCache>
                <c:ptCount val="3"/>
                <c:pt idx="0">
                  <c:v>2480</c:v>
                </c:pt>
                <c:pt idx="1">
                  <c:v>466</c:v>
                </c:pt>
                <c:pt idx="2">
                  <c:v>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33</xdr:row>
      <xdr:rowOff>0</xdr:rowOff>
    </xdr:from>
    <xdr:to>
      <xdr:col>10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6696075" y="8791575"/>
        <a:ext cx="2419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32</xdr:row>
      <xdr:rowOff>0</xdr:rowOff>
    </xdr:from>
    <xdr:to>
      <xdr:col>4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3819525" y="82391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32</xdr:row>
      <xdr:rowOff>0</xdr:rowOff>
    </xdr:from>
    <xdr:to>
      <xdr:col>4</xdr:col>
      <xdr:colOff>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542925" y="8239125"/>
        <a:ext cx="3276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4242800\Configuraci&#243;n%20local\Archivos%20temporales%20de%20Internet\OLK16\CUMPLIMIENTO%20INTERNACIONAL%20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4242800\Configuraci&#243;n%20local\Archivos%20temporales%20de%20Internet\OLK16\CUMPLIMIENTO%20NACIONAL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 09"/>
      <sheetName val="FEB 09"/>
      <sheetName val="MAR 09"/>
      <sheetName val="ABR 09"/>
      <sheetName val="MAY 09"/>
      <sheetName val="JUN 09"/>
      <sheetName val="JUL 09"/>
      <sheetName val="AGO 09"/>
      <sheetName val="SEP 09"/>
      <sheetName val="OCT 09"/>
      <sheetName val="NOV 09"/>
      <sheetName val="DIC 09"/>
      <sheetName val="TOTAL 09"/>
    </sheetNames>
    <sheetDataSet>
      <sheetData sheetId="6">
        <row r="4">
          <cell r="E4" t="str">
            <v>A.ARGENTINAS</v>
          </cell>
          <cell r="F4" t="str">
            <v>A. GALAPAGOS</v>
          </cell>
          <cell r="G4" t="str">
            <v>AEROREPUBLICA</v>
          </cell>
          <cell r="H4" t="str">
            <v>AI R E S</v>
          </cell>
          <cell r="I4" t="str">
            <v>AIR  CANADA</v>
          </cell>
          <cell r="J4" t="str">
            <v>AIR  FRANCE</v>
          </cell>
          <cell r="K4" t="str">
            <v>AIR COMET</v>
          </cell>
          <cell r="L4" t="str">
            <v>AMERICAN</v>
          </cell>
          <cell r="M4" t="str">
            <v>AVIANCA</v>
          </cell>
          <cell r="N4" t="str">
            <v>CONTINENTAL</v>
          </cell>
          <cell r="O4" t="str">
            <v>COPA</v>
          </cell>
          <cell r="P4" t="str">
            <v>CUBANA</v>
          </cell>
          <cell r="Q4" t="str">
            <v>DELTA</v>
          </cell>
          <cell r="R4" t="str">
            <v>DUTCH</v>
          </cell>
          <cell r="S4" t="str">
            <v>IBERIA</v>
          </cell>
          <cell r="T4" t="str">
            <v>LACSA</v>
          </cell>
          <cell r="U4" t="str">
            <v>LAN  PERU</v>
          </cell>
          <cell r="V4" t="str">
            <v>LAN CHILE</v>
          </cell>
          <cell r="W4" t="str">
            <v>MEXICANA </v>
          </cell>
          <cell r="X4" t="str">
            <v>SAM</v>
          </cell>
          <cell r="Y4" t="str">
            <v>SPIRIT</v>
          </cell>
          <cell r="Z4" t="str">
            <v>TACA  PERU</v>
          </cell>
          <cell r="AA4" t="str">
            <v>TAME</v>
          </cell>
          <cell r="AB4" t="str">
            <v>VARIG</v>
          </cell>
        </row>
        <row r="28">
          <cell r="E28">
            <v>0.7142857142857143</v>
          </cell>
          <cell r="F28">
            <v>0.967741935483871</v>
          </cell>
          <cell r="G28">
            <v>0.9572192513368984</v>
          </cell>
          <cell r="H28">
            <v>0.7906976744186046</v>
          </cell>
          <cell r="I28">
            <v>0.3076923076923077</v>
          </cell>
          <cell r="J28">
            <v>1</v>
          </cell>
          <cell r="K28">
            <v>0.8461538461538461</v>
          </cell>
          <cell r="L28">
            <v>0.7419354838709677</v>
          </cell>
          <cell r="M28">
            <v>0.9447322970639033</v>
          </cell>
          <cell r="N28">
            <v>0.946236559139785</v>
          </cell>
          <cell r="O28">
            <v>0.9769585253456221</v>
          </cell>
          <cell r="P28">
            <v>1</v>
          </cell>
          <cell r="Q28">
            <v>0.8269230769230769</v>
          </cell>
          <cell r="R28">
            <v>0.7777777777777778</v>
          </cell>
          <cell r="S28">
            <v>0.2708333333333333</v>
          </cell>
          <cell r="T28">
            <v>1</v>
          </cell>
          <cell r="U28">
            <v>0.975</v>
          </cell>
          <cell r="V28">
            <v>0</v>
          </cell>
          <cell r="W28">
            <v>0.8571428571428571</v>
          </cell>
          <cell r="X28">
            <v>0.9069767441860465</v>
          </cell>
          <cell r="Y28">
            <v>0.8111111111111111</v>
          </cell>
          <cell r="Z28">
            <v>1</v>
          </cell>
          <cell r="AA28">
            <v>0</v>
          </cell>
          <cell r="AB28">
            <v>0.6428571428571429</v>
          </cell>
        </row>
        <row r="46">
          <cell r="D46" t="str">
            <v> Cumplidos</v>
          </cell>
          <cell r="E46" t="str">
            <v> Demorados</v>
          </cell>
          <cell r="F46" t="str">
            <v>Cancelados</v>
          </cell>
        </row>
        <row r="47">
          <cell r="D47">
            <v>84.0677966101695</v>
          </cell>
          <cell r="E47">
            <v>15.796610169491526</v>
          </cell>
          <cell r="F47">
            <v>0.13559322033898305</v>
          </cell>
        </row>
        <row r="48">
          <cell r="D48">
            <v>2480</v>
          </cell>
          <cell r="E48">
            <v>466</v>
          </cell>
          <cell r="F48">
            <v>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 09"/>
      <sheetName val="FEB 09"/>
      <sheetName val="MAR 09"/>
      <sheetName val="ABR 09"/>
      <sheetName val="MAY 09"/>
      <sheetName val="JUN 09"/>
      <sheetName val="JUL 09"/>
      <sheetName val="AGO 09"/>
      <sheetName val="SEP 09"/>
      <sheetName val="OCT 09"/>
      <sheetName val="NOV 09"/>
      <sheetName val="DIC 09"/>
      <sheetName val="ACOMULADO"/>
    </sheetNames>
    <sheetDataSet>
      <sheetData sheetId="6">
        <row r="4">
          <cell r="E4" t="str">
            <v>ADA</v>
          </cell>
          <cell r="F4" t="str">
            <v>AEROREPUBLICA</v>
          </cell>
          <cell r="G4" t="str">
            <v>AIRES</v>
          </cell>
          <cell r="H4" t="str">
            <v>AVIANCA</v>
          </cell>
          <cell r="I4" t="str">
            <v>EASYFLY</v>
          </cell>
          <cell r="J4" t="str">
            <v>SAM</v>
          </cell>
        </row>
        <row r="28">
          <cell r="E28">
            <v>0.7609384908053266</v>
          </cell>
          <cell r="F28">
            <v>0.9526970954356846</v>
          </cell>
          <cell r="G28">
            <v>0.8588158750813273</v>
          </cell>
          <cell r="H28">
            <v>0.9542772861356932</v>
          </cell>
          <cell r="I28">
            <v>0.9324861000794281</v>
          </cell>
          <cell r="J28">
            <v>0.9296322489391796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ersonalizado 2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7030A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zoomScale="70" zoomScaleNormal="70" zoomScalePageLayoutView="0" workbookViewId="0" topLeftCell="A1">
      <selection activeCell="H58" sqref="H58"/>
    </sheetView>
  </sheetViews>
  <sheetFormatPr defaultColWidth="11.421875" defaultRowHeight="12.75"/>
  <cols>
    <col min="1" max="1" width="6.57421875" style="5" bestFit="1" customWidth="1"/>
    <col min="2" max="2" width="5.8515625" style="3" bestFit="1" customWidth="1"/>
    <col min="3" max="3" width="40.7109375" style="3" customWidth="1"/>
    <col min="4" max="4" width="20.421875" style="3" customWidth="1"/>
    <col min="5" max="7" width="10.421875" style="3" customWidth="1"/>
    <col min="8" max="8" width="10.421875" style="24" customWidth="1"/>
    <col min="9" max="9" width="10.7109375" style="24" customWidth="1"/>
    <col min="10" max="10" width="10.7109375" style="3" customWidth="1"/>
    <col min="11" max="11" width="11.421875" style="3" customWidth="1"/>
    <col min="12" max="12" width="9.140625" style="3" bestFit="1" customWidth="1"/>
    <col min="13" max="13" width="7.7109375" style="3" customWidth="1"/>
    <col min="14" max="14" width="17.140625" style="3" customWidth="1"/>
    <col min="15" max="15" width="15.7109375" style="3" bestFit="1" customWidth="1"/>
    <col min="16" max="16" width="11.421875" style="3" customWidth="1"/>
    <col min="17" max="17" width="25.140625" style="3" customWidth="1"/>
    <col min="18" max="18" width="6.421875" style="3" customWidth="1"/>
    <col min="19" max="19" width="4.7109375" style="3" customWidth="1"/>
    <col min="20" max="20" width="7.28125" style="3" customWidth="1"/>
    <col min="21" max="22" width="11.421875" style="3" customWidth="1"/>
    <col min="23" max="23" width="7.140625" style="3" customWidth="1"/>
    <col min="24" max="24" width="5.140625" style="3" customWidth="1"/>
    <col min="25" max="16384" width="11.421875" style="3" customWidth="1"/>
  </cols>
  <sheetData>
    <row r="1" spans="1:10" ht="17.25">
      <c r="A1" s="214" t="s">
        <v>2</v>
      </c>
      <c r="B1" s="214"/>
      <c r="C1" s="214"/>
      <c r="D1" s="214"/>
      <c r="E1" s="214"/>
      <c r="F1" s="214"/>
      <c r="G1" s="214"/>
      <c r="H1" s="214"/>
      <c r="I1" s="214"/>
      <c r="J1" s="214"/>
    </row>
    <row r="2" spans="1:10" ht="17.25">
      <c r="A2" s="214" t="s">
        <v>39</v>
      </c>
      <c r="B2" s="214"/>
      <c r="C2" s="214"/>
      <c r="D2" s="214"/>
      <c r="E2" s="214"/>
      <c r="F2" s="214"/>
      <c r="G2" s="214"/>
      <c r="H2" s="214"/>
      <c r="I2" s="214"/>
      <c r="J2" s="214"/>
    </row>
    <row r="3" spans="1:10" ht="18" thickBot="1">
      <c r="A3" s="215" t="s">
        <v>100</v>
      </c>
      <c r="B3" s="215"/>
      <c r="C3" s="215"/>
      <c r="D3" s="215"/>
      <c r="E3" s="215"/>
      <c r="F3" s="215"/>
      <c r="G3" s="215"/>
      <c r="H3" s="215"/>
      <c r="I3" s="215"/>
      <c r="J3" s="215"/>
    </row>
    <row r="4" spans="1:20" ht="58.5" thickBot="1" thickTop="1">
      <c r="A4" s="146" t="s">
        <v>4</v>
      </c>
      <c r="B4" s="216" t="s">
        <v>5</v>
      </c>
      <c r="C4" s="217"/>
      <c r="D4" s="218"/>
      <c r="E4" s="59" t="s">
        <v>51</v>
      </c>
      <c r="F4" s="59" t="s">
        <v>40</v>
      </c>
      <c r="G4" s="59" t="s">
        <v>41</v>
      </c>
      <c r="H4" s="59" t="s">
        <v>42</v>
      </c>
      <c r="I4" s="59" t="s">
        <v>43</v>
      </c>
      <c r="J4" s="59" t="s">
        <v>45</v>
      </c>
      <c r="K4" s="58" t="s">
        <v>13</v>
      </c>
      <c r="M4" s="6"/>
      <c r="N4" s="169"/>
      <c r="O4" s="169"/>
      <c r="P4" s="169"/>
      <c r="Q4" s="169"/>
      <c r="R4" s="169"/>
      <c r="S4" s="169"/>
      <c r="T4" s="6"/>
    </row>
    <row r="5" spans="1:20" ht="18" thickBot="1" thickTop="1">
      <c r="A5" s="52">
        <v>1</v>
      </c>
      <c r="B5" s="221" t="s">
        <v>14</v>
      </c>
      <c r="C5" s="222"/>
      <c r="D5" s="223"/>
      <c r="E5" s="26">
        <v>1543</v>
      </c>
      <c r="F5" s="27">
        <v>1469</v>
      </c>
      <c r="G5" s="27">
        <v>3611</v>
      </c>
      <c r="H5" s="27">
        <v>7649</v>
      </c>
      <c r="I5" s="27">
        <v>1569</v>
      </c>
      <c r="J5" s="28">
        <v>760</v>
      </c>
      <c r="K5" s="57">
        <f aca="true" t="shared" si="0" ref="K5:K29">SUM(E5:J5)</f>
        <v>16601</v>
      </c>
      <c r="M5" s="170"/>
      <c r="N5" s="171"/>
      <c r="O5" s="171"/>
      <c r="P5" s="171"/>
      <c r="Q5" s="171"/>
      <c r="R5" s="171"/>
      <c r="S5" s="6"/>
      <c r="T5" s="6"/>
    </row>
    <row r="6" spans="1:20" ht="18" thickTop="1">
      <c r="A6" s="48">
        <v>2</v>
      </c>
      <c r="B6" s="192" t="s">
        <v>15</v>
      </c>
      <c r="C6" s="193"/>
      <c r="D6" s="194"/>
      <c r="E6" s="60">
        <v>73</v>
      </c>
      <c r="F6" s="61">
        <v>0</v>
      </c>
      <c r="G6" s="61">
        <v>693</v>
      </c>
      <c r="H6" s="61">
        <v>28</v>
      </c>
      <c r="I6" s="61">
        <v>897</v>
      </c>
      <c r="J6" s="62">
        <v>0</v>
      </c>
      <c r="K6" s="47">
        <f t="shared" si="0"/>
        <v>1691</v>
      </c>
      <c r="M6" s="6"/>
      <c r="N6" s="171"/>
      <c r="O6" s="171"/>
      <c r="P6" s="171"/>
      <c r="Q6" s="172"/>
      <c r="R6" s="172"/>
      <c r="S6" s="6"/>
      <c r="T6" s="6"/>
    </row>
    <row r="7" spans="1:20" ht="18" thickBot="1">
      <c r="A7" s="53">
        <v>3</v>
      </c>
      <c r="B7" s="195" t="s">
        <v>33</v>
      </c>
      <c r="C7" s="196"/>
      <c r="D7" s="197"/>
      <c r="E7" s="33">
        <v>0</v>
      </c>
      <c r="F7" s="34">
        <v>0</v>
      </c>
      <c r="G7" s="34">
        <v>0</v>
      </c>
      <c r="H7" s="34">
        <v>197</v>
      </c>
      <c r="I7" s="34">
        <v>1</v>
      </c>
      <c r="J7" s="35">
        <v>0</v>
      </c>
      <c r="K7" s="45">
        <f t="shared" si="0"/>
        <v>198</v>
      </c>
      <c r="M7" s="170"/>
      <c r="N7" s="171"/>
      <c r="O7" s="171"/>
      <c r="P7" s="171"/>
      <c r="Q7" s="171"/>
      <c r="R7" s="171"/>
      <c r="S7" s="171"/>
      <c r="T7" s="6"/>
    </row>
    <row r="8" spans="1:20" ht="24" customHeight="1" thickTop="1">
      <c r="A8" s="51">
        <v>4</v>
      </c>
      <c r="B8" s="198" t="s">
        <v>0</v>
      </c>
      <c r="C8" s="201" t="s">
        <v>34</v>
      </c>
      <c r="D8" s="202"/>
      <c r="E8" s="36">
        <v>11</v>
      </c>
      <c r="F8" s="37">
        <v>51</v>
      </c>
      <c r="G8" s="37">
        <v>415</v>
      </c>
      <c r="H8" s="37">
        <v>1</v>
      </c>
      <c r="I8" s="37">
        <v>8</v>
      </c>
      <c r="J8" s="38">
        <f>7+47</f>
        <v>54</v>
      </c>
      <c r="K8" s="43">
        <f t="shared" si="0"/>
        <v>540</v>
      </c>
      <c r="M8" s="170"/>
      <c r="N8" s="171"/>
      <c r="O8" s="171"/>
      <c r="P8" s="171"/>
      <c r="Q8" s="171"/>
      <c r="R8" s="171"/>
      <c r="S8" s="171"/>
      <c r="T8" s="6"/>
    </row>
    <row r="9" spans="1:20" ht="19.5" customHeight="1">
      <c r="A9" s="48">
        <v>5</v>
      </c>
      <c r="B9" s="199"/>
      <c r="C9" s="203" t="s">
        <v>29</v>
      </c>
      <c r="D9" s="225"/>
      <c r="E9" s="31">
        <v>46</v>
      </c>
      <c r="F9" s="18">
        <v>1</v>
      </c>
      <c r="G9" s="18">
        <v>48</v>
      </c>
      <c r="H9" s="18">
        <v>276</v>
      </c>
      <c r="I9" s="18">
        <v>186</v>
      </c>
      <c r="J9" s="29">
        <v>8</v>
      </c>
      <c r="K9" s="44">
        <f t="shared" si="0"/>
        <v>565</v>
      </c>
      <c r="M9" s="6"/>
      <c r="N9" s="171"/>
      <c r="O9" s="171"/>
      <c r="P9" s="171"/>
      <c r="Q9" s="171"/>
      <c r="R9" s="171"/>
      <c r="S9" s="171"/>
      <c r="T9" s="6"/>
    </row>
    <row r="10" spans="1:13" ht="18" customHeight="1">
      <c r="A10" s="48">
        <v>6</v>
      </c>
      <c r="B10" s="199"/>
      <c r="C10" s="203" t="s">
        <v>30</v>
      </c>
      <c r="D10" s="225"/>
      <c r="E10" s="31">
        <v>10</v>
      </c>
      <c r="F10" s="18">
        <v>0</v>
      </c>
      <c r="G10" s="18">
        <v>22</v>
      </c>
      <c r="H10" s="18">
        <v>62</v>
      </c>
      <c r="I10" s="18">
        <v>2</v>
      </c>
      <c r="J10" s="29">
        <v>30</v>
      </c>
      <c r="K10" s="44">
        <f t="shared" si="0"/>
        <v>126</v>
      </c>
      <c r="M10" s="7"/>
    </row>
    <row r="11" spans="1:13" ht="18" thickBot="1">
      <c r="A11" s="48">
        <v>7</v>
      </c>
      <c r="B11" s="199"/>
      <c r="C11" s="226" t="s">
        <v>31</v>
      </c>
      <c r="D11" s="227"/>
      <c r="E11" s="33">
        <v>0</v>
      </c>
      <c r="F11" s="34">
        <v>0</v>
      </c>
      <c r="G11" s="34">
        <v>6</v>
      </c>
      <c r="H11" s="34">
        <v>8</v>
      </c>
      <c r="I11" s="34">
        <v>0</v>
      </c>
      <c r="J11" s="35">
        <v>0</v>
      </c>
      <c r="K11" s="45">
        <f t="shared" si="0"/>
        <v>14</v>
      </c>
      <c r="M11" s="7"/>
    </row>
    <row r="12" spans="1:13" ht="18" thickBot="1" thickTop="1">
      <c r="A12" s="48">
        <v>8</v>
      </c>
      <c r="B12" s="199"/>
      <c r="C12" s="208" t="s">
        <v>44</v>
      </c>
      <c r="D12" s="209"/>
      <c r="E12" s="63">
        <f aca="true" t="shared" si="1" ref="E12:J12">IF((E8+E9+E10+E11)&gt;E35,0,(+E35-E8-E9-E10-E11))</f>
        <v>29</v>
      </c>
      <c r="F12" s="168">
        <f t="shared" si="1"/>
        <v>0</v>
      </c>
      <c r="G12" s="64">
        <f t="shared" si="1"/>
        <v>0</v>
      </c>
      <c r="H12" s="64">
        <f t="shared" si="1"/>
        <v>0</v>
      </c>
      <c r="I12" s="64">
        <f t="shared" si="1"/>
        <v>0</v>
      </c>
      <c r="J12" s="64">
        <f t="shared" si="1"/>
        <v>18</v>
      </c>
      <c r="K12" s="57">
        <f t="shared" si="0"/>
        <v>47</v>
      </c>
      <c r="M12" s="7"/>
    </row>
    <row r="13" spans="1:13" ht="24" customHeight="1" thickBot="1" thickTop="1">
      <c r="A13" s="48">
        <v>9</v>
      </c>
      <c r="B13" s="199"/>
      <c r="C13" s="212" t="s">
        <v>49</v>
      </c>
      <c r="D13" s="213"/>
      <c r="E13" s="60">
        <f aca="true" t="shared" si="2" ref="E13:J13">E8+E9</f>
        <v>57</v>
      </c>
      <c r="F13" s="61">
        <f t="shared" si="2"/>
        <v>52</v>
      </c>
      <c r="G13" s="61">
        <f t="shared" si="2"/>
        <v>463</v>
      </c>
      <c r="H13" s="61">
        <f t="shared" si="2"/>
        <v>277</v>
      </c>
      <c r="I13" s="61">
        <f t="shared" si="2"/>
        <v>194</v>
      </c>
      <c r="J13" s="61">
        <f t="shared" si="2"/>
        <v>62</v>
      </c>
      <c r="K13" s="47">
        <f t="shared" si="0"/>
        <v>1105</v>
      </c>
      <c r="M13" s="7"/>
    </row>
    <row r="14" spans="1:19" ht="27" customHeight="1" thickBot="1" thickTop="1">
      <c r="A14" s="48">
        <v>10</v>
      </c>
      <c r="B14" s="199"/>
      <c r="C14" s="208" t="s">
        <v>50</v>
      </c>
      <c r="D14" s="209"/>
      <c r="E14" s="39">
        <f aca="true" t="shared" si="3" ref="E14:J14">E10+E11</f>
        <v>10</v>
      </c>
      <c r="F14" s="40">
        <f t="shared" si="3"/>
        <v>0</v>
      </c>
      <c r="G14" s="40">
        <f t="shared" si="3"/>
        <v>28</v>
      </c>
      <c r="H14" s="40">
        <f t="shared" si="3"/>
        <v>70</v>
      </c>
      <c r="I14" s="40">
        <f t="shared" si="3"/>
        <v>2</v>
      </c>
      <c r="J14" s="40">
        <f t="shared" si="3"/>
        <v>30</v>
      </c>
      <c r="K14" s="46">
        <f t="shared" si="0"/>
        <v>140</v>
      </c>
      <c r="M14" s="7"/>
      <c r="S14" s="155"/>
    </row>
    <row r="15" spans="1:19" ht="37.5" customHeight="1" thickBot="1" thickTop="1">
      <c r="A15" s="50">
        <v>11</v>
      </c>
      <c r="B15" s="200"/>
      <c r="C15" s="206" t="s">
        <v>23</v>
      </c>
      <c r="D15" s="207"/>
      <c r="E15" s="41">
        <f aca="true" t="shared" si="4" ref="E15:J15">IF((E8+E9+E10+E11)&gt;E35,(E8+E9+E10+E11),E35)</f>
        <v>96</v>
      </c>
      <c r="F15" s="42">
        <f t="shared" si="4"/>
        <v>52</v>
      </c>
      <c r="G15" s="42">
        <f t="shared" si="4"/>
        <v>491</v>
      </c>
      <c r="H15" s="42">
        <f t="shared" si="4"/>
        <v>347</v>
      </c>
      <c r="I15" s="42">
        <f t="shared" si="4"/>
        <v>196</v>
      </c>
      <c r="J15" s="42">
        <f t="shared" si="4"/>
        <v>110</v>
      </c>
      <c r="K15" s="80">
        <f t="shared" si="0"/>
        <v>1292</v>
      </c>
      <c r="M15" s="7"/>
      <c r="S15" s="155"/>
    </row>
    <row r="16" spans="1:13" ht="18" thickTop="1">
      <c r="A16" s="228">
        <v>12</v>
      </c>
      <c r="B16" s="229" t="s">
        <v>1</v>
      </c>
      <c r="C16" s="231" t="s">
        <v>28</v>
      </c>
      <c r="D16" s="65" t="s">
        <v>16</v>
      </c>
      <c r="E16" s="36">
        <v>0</v>
      </c>
      <c r="F16" s="37">
        <v>0</v>
      </c>
      <c r="G16" s="37">
        <v>0</v>
      </c>
      <c r="H16" s="37">
        <v>0</v>
      </c>
      <c r="I16" s="37">
        <v>0</v>
      </c>
      <c r="J16" s="38">
        <v>0</v>
      </c>
      <c r="K16" s="43">
        <f t="shared" si="0"/>
        <v>0</v>
      </c>
      <c r="M16" s="7"/>
    </row>
    <row r="17" spans="1:13" ht="18" thickBot="1">
      <c r="A17" s="224"/>
      <c r="B17" s="199"/>
      <c r="C17" s="220"/>
      <c r="D17" s="66" t="s">
        <v>17</v>
      </c>
      <c r="E17" s="31">
        <v>0</v>
      </c>
      <c r="F17" s="18">
        <v>0</v>
      </c>
      <c r="G17" s="18">
        <v>0</v>
      </c>
      <c r="H17" s="18">
        <v>0</v>
      </c>
      <c r="I17" s="18">
        <v>0</v>
      </c>
      <c r="J17" s="29">
        <v>0</v>
      </c>
      <c r="K17" s="44">
        <f t="shared" si="0"/>
        <v>0</v>
      </c>
      <c r="M17" s="7"/>
    </row>
    <row r="18" spans="1:21" ht="18" thickTop="1">
      <c r="A18" s="224">
        <v>13</v>
      </c>
      <c r="B18" s="199"/>
      <c r="C18" s="219" t="s">
        <v>35</v>
      </c>
      <c r="D18" s="84" t="s">
        <v>16</v>
      </c>
      <c r="E18" s="31">
        <v>529</v>
      </c>
      <c r="F18" s="18">
        <v>251</v>
      </c>
      <c r="G18" s="18">
        <v>881</v>
      </c>
      <c r="H18" s="18">
        <v>2330</v>
      </c>
      <c r="I18" s="18">
        <v>746</v>
      </c>
      <c r="J18" s="29">
        <v>118</v>
      </c>
      <c r="K18" s="44">
        <f t="shared" si="0"/>
        <v>4855</v>
      </c>
      <c r="M18" s="7"/>
      <c r="O18" s="173"/>
      <c r="U18" s="7"/>
    </row>
    <row r="19" spans="1:13" ht="18" thickBot="1">
      <c r="A19" s="224"/>
      <c r="B19" s="199"/>
      <c r="C19" s="232"/>
      <c r="D19" s="85" t="s">
        <v>17</v>
      </c>
      <c r="E19" s="31">
        <f>570*60+50</f>
        <v>34250</v>
      </c>
      <c r="F19" s="18">
        <f>228*60+10</f>
        <v>13690</v>
      </c>
      <c r="G19" s="18">
        <v>57557</v>
      </c>
      <c r="H19" s="18">
        <v>154423</v>
      </c>
      <c r="I19" s="18">
        <f>754*60+35</f>
        <v>45275</v>
      </c>
      <c r="J19" s="29">
        <f>75*60+29</f>
        <v>4529</v>
      </c>
      <c r="K19" s="44">
        <f t="shared" si="0"/>
        <v>309724</v>
      </c>
      <c r="M19" s="7"/>
    </row>
    <row r="20" spans="1:14" ht="18" thickTop="1">
      <c r="A20" s="224">
        <v>14</v>
      </c>
      <c r="B20" s="199"/>
      <c r="C20" s="231" t="s">
        <v>30</v>
      </c>
      <c r="D20" s="65" t="s">
        <v>16</v>
      </c>
      <c r="E20" s="31">
        <v>336</v>
      </c>
      <c r="F20" s="18">
        <v>40</v>
      </c>
      <c r="G20" s="18">
        <v>140</v>
      </c>
      <c r="H20" s="18">
        <v>252</v>
      </c>
      <c r="I20" s="18">
        <v>60</v>
      </c>
      <c r="J20" s="29">
        <v>42</v>
      </c>
      <c r="K20" s="44">
        <f t="shared" si="0"/>
        <v>870</v>
      </c>
      <c r="M20" s="7"/>
      <c r="N20" s="7"/>
    </row>
    <row r="21" spans="1:13" ht="18" thickBot="1">
      <c r="A21" s="224"/>
      <c r="B21" s="199"/>
      <c r="C21" s="220"/>
      <c r="D21" s="66" t="s">
        <v>17</v>
      </c>
      <c r="E21" s="31">
        <f>187*60+70</f>
        <v>11290</v>
      </c>
      <c r="F21" s="18">
        <f>57*60+47</f>
        <v>3467</v>
      </c>
      <c r="G21" s="18">
        <v>13673</v>
      </c>
      <c r="H21" s="18">
        <v>21458</v>
      </c>
      <c r="I21" s="18">
        <f>50*60+19</f>
        <v>3019</v>
      </c>
      <c r="J21" s="29">
        <f>35*60+12</f>
        <v>2112</v>
      </c>
      <c r="K21" s="44">
        <f t="shared" si="0"/>
        <v>55019</v>
      </c>
      <c r="M21" s="7"/>
    </row>
    <row r="22" spans="1:13" ht="18" thickTop="1">
      <c r="A22" s="224">
        <v>15</v>
      </c>
      <c r="B22" s="199"/>
      <c r="C22" s="219" t="s">
        <v>31</v>
      </c>
      <c r="D22" s="84" t="s">
        <v>16</v>
      </c>
      <c r="E22" s="31">
        <v>97</v>
      </c>
      <c r="F22" s="18">
        <v>59</v>
      </c>
      <c r="G22" s="18">
        <v>76</v>
      </c>
      <c r="H22" s="18">
        <v>193</v>
      </c>
      <c r="I22" s="18">
        <v>45</v>
      </c>
      <c r="J22" s="29">
        <v>6</v>
      </c>
      <c r="K22" s="44">
        <f t="shared" si="0"/>
        <v>476</v>
      </c>
      <c r="M22" s="7"/>
    </row>
    <row r="23" spans="1:13" ht="18" thickBot="1">
      <c r="A23" s="224"/>
      <c r="B23" s="199"/>
      <c r="C23" s="220"/>
      <c r="D23" s="66" t="s">
        <v>17</v>
      </c>
      <c r="E23" s="33">
        <f>29*60+7</f>
        <v>1747</v>
      </c>
      <c r="F23" s="18">
        <f>52*60+31</f>
        <v>3151</v>
      </c>
      <c r="G23" s="34">
        <v>3827</v>
      </c>
      <c r="H23" s="34">
        <v>13692</v>
      </c>
      <c r="I23" s="34">
        <f>8*60+22</f>
        <v>502</v>
      </c>
      <c r="J23" s="35">
        <f>6*60+29</f>
        <v>389</v>
      </c>
      <c r="K23" s="45">
        <f t="shared" si="0"/>
        <v>23308</v>
      </c>
      <c r="M23" s="7"/>
    </row>
    <row r="24" spans="1:13" ht="18" thickBot="1" thickTop="1">
      <c r="A24" s="49">
        <v>16</v>
      </c>
      <c r="B24" s="199"/>
      <c r="C24" s="210" t="s">
        <v>44</v>
      </c>
      <c r="D24" s="211"/>
      <c r="E24" s="63">
        <f aca="true" t="shared" si="5" ref="E24:J24">IF((E16+E18+E20+E22)&gt;E36,0,(+E36-E16-E18-E20-E22))</f>
        <v>0</v>
      </c>
      <c r="F24" s="64">
        <f t="shared" si="5"/>
        <v>78</v>
      </c>
      <c r="G24" s="64">
        <f t="shared" si="5"/>
        <v>681</v>
      </c>
      <c r="H24" s="64">
        <f t="shared" si="5"/>
        <v>360</v>
      </c>
      <c r="I24" s="64">
        <f t="shared" si="5"/>
        <v>0</v>
      </c>
      <c r="J24" s="64">
        <f t="shared" si="5"/>
        <v>101</v>
      </c>
      <c r="K24" s="57">
        <f t="shared" si="0"/>
        <v>1220</v>
      </c>
      <c r="M24" s="7"/>
    </row>
    <row r="25" spans="1:13" ht="18" thickBot="1" thickTop="1">
      <c r="A25" s="224">
        <v>17</v>
      </c>
      <c r="B25" s="199"/>
      <c r="C25" s="244" t="s">
        <v>22</v>
      </c>
      <c r="D25" s="67" t="s">
        <v>36</v>
      </c>
      <c r="E25" s="55">
        <f aca="true" t="shared" si="6" ref="E25:J25">IF((E16+E18+E20+E22)&gt;E36,(E16+E18+E20+E22),E36)</f>
        <v>962</v>
      </c>
      <c r="F25" s="56">
        <f t="shared" si="6"/>
        <v>428</v>
      </c>
      <c r="G25" s="56">
        <f t="shared" si="6"/>
        <v>1778</v>
      </c>
      <c r="H25" s="56">
        <f t="shared" si="6"/>
        <v>3135</v>
      </c>
      <c r="I25" s="56">
        <f t="shared" si="6"/>
        <v>851</v>
      </c>
      <c r="J25" s="56">
        <f t="shared" si="6"/>
        <v>267</v>
      </c>
      <c r="K25" s="57">
        <f t="shared" si="0"/>
        <v>7421</v>
      </c>
      <c r="M25" s="7"/>
    </row>
    <row r="26" spans="1:13" ht="18" thickBot="1" thickTop="1">
      <c r="A26" s="243"/>
      <c r="B26" s="230"/>
      <c r="C26" s="245"/>
      <c r="D26" s="66" t="s">
        <v>17</v>
      </c>
      <c r="E26" s="68">
        <f aca="true" t="shared" si="7" ref="E26:J26">E17+E19+E21+E23</f>
        <v>47287</v>
      </c>
      <c r="F26" s="69">
        <f t="shared" si="7"/>
        <v>20308</v>
      </c>
      <c r="G26" s="69">
        <f t="shared" si="7"/>
        <v>75057</v>
      </c>
      <c r="H26" s="69">
        <f t="shared" si="7"/>
        <v>189573</v>
      </c>
      <c r="I26" s="69">
        <f t="shared" si="7"/>
        <v>48796</v>
      </c>
      <c r="J26" s="69">
        <f t="shared" si="7"/>
        <v>7030</v>
      </c>
      <c r="K26" s="54">
        <f t="shared" si="0"/>
        <v>388051</v>
      </c>
      <c r="M26" s="7"/>
    </row>
    <row r="27" spans="1:13" ht="18" thickTop="1">
      <c r="A27" s="51">
        <v>18</v>
      </c>
      <c r="B27" s="192" t="s">
        <v>18</v>
      </c>
      <c r="C27" s="193"/>
      <c r="D27" s="246"/>
      <c r="E27" s="71">
        <f aca="true" t="shared" si="8" ref="E27:J27">E5+E6+E7</f>
        <v>1616</v>
      </c>
      <c r="F27" s="72">
        <f t="shared" si="8"/>
        <v>1469</v>
      </c>
      <c r="G27" s="72">
        <f t="shared" si="8"/>
        <v>4304</v>
      </c>
      <c r="H27" s="72">
        <f t="shared" si="8"/>
        <v>7874</v>
      </c>
      <c r="I27" s="72">
        <f t="shared" si="8"/>
        <v>2467</v>
      </c>
      <c r="J27" s="165">
        <f t="shared" si="8"/>
        <v>760</v>
      </c>
      <c r="K27" s="43">
        <f t="shared" si="0"/>
        <v>18490</v>
      </c>
      <c r="M27" s="7"/>
    </row>
    <row r="28" spans="1:13" ht="17.25">
      <c r="A28" s="48">
        <v>19</v>
      </c>
      <c r="B28" s="203" t="s">
        <v>19</v>
      </c>
      <c r="C28" s="204"/>
      <c r="D28" s="205"/>
      <c r="E28" s="32">
        <f aca="true" t="shared" si="9" ref="E28:J28">E27-E8</f>
        <v>1605</v>
      </c>
      <c r="F28" s="70">
        <f t="shared" si="9"/>
        <v>1418</v>
      </c>
      <c r="G28" s="70">
        <f t="shared" si="9"/>
        <v>3889</v>
      </c>
      <c r="H28" s="70">
        <f t="shared" si="9"/>
        <v>7873</v>
      </c>
      <c r="I28" s="70">
        <f t="shared" si="9"/>
        <v>2459</v>
      </c>
      <c r="J28" s="166">
        <f t="shared" si="9"/>
        <v>706</v>
      </c>
      <c r="K28" s="44">
        <f t="shared" si="0"/>
        <v>17950</v>
      </c>
      <c r="M28" s="7"/>
    </row>
    <row r="29" spans="1:13" ht="18" thickBot="1">
      <c r="A29" s="50">
        <v>20</v>
      </c>
      <c r="B29" s="226" t="s">
        <v>20</v>
      </c>
      <c r="C29" s="233"/>
      <c r="D29" s="234"/>
      <c r="E29" s="154">
        <f aca="true" t="shared" si="10" ref="E29:J29">+E28-E9-E10-E11-E12-E16-E18-E20-E22-E24</f>
        <v>558</v>
      </c>
      <c r="F29" s="73">
        <f t="shared" si="10"/>
        <v>989</v>
      </c>
      <c r="G29" s="73">
        <f t="shared" si="10"/>
        <v>2035</v>
      </c>
      <c r="H29" s="73">
        <f t="shared" si="10"/>
        <v>4392</v>
      </c>
      <c r="I29" s="73">
        <f t="shared" si="10"/>
        <v>1420</v>
      </c>
      <c r="J29" s="167">
        <f t="shared" si="10"/>
        <v>383</v>
      </c>
      <c r="K29" s="46">
        <f t="shared" si="0"/>
        <v>9777</v>
      </c>
      <c r="M29" s="7"/>
    </row>
    <row r="30" spans="1:13" s="11" customFormat="1" ht="36" customHeight="1" thickBot="1" thickTop="1">
      <c r="A30" s="142">
        <v>21</v>
      </c>
      <c r="B30" s="235" t="s">
        <v>52</v>
      </c>
      <c r="C30" s="236"/>
      <c r="D30" s="237"/>
      <c r="E30" s="143">
        <f aca="true" t="shared" si="11" ref="E30:K30">IF(E28=0,0,(IF(E29=0,0,((E29-E6-E7)/(E5-E9-E16-E18)))))</f>
        <v>0.5010330578512396</v>
      </c>
      <c r="F30" s="144">
        <f t="shared" si="11"/>
        <v>0.8126540673788003</v>
      </c>
      <c r="G30" s="144">
        <f t="shared" si="11"/>
        <v>0.5003728560775541</v>
      </c>
      <c r="H30" s="144">
        <f t="shared" si="11"/>
        <v>0.8262938726948245</v>
      </c>
      <c r="I30" s="144">
        <f t="shared" si="11"/>
        <v>0.8194662480376766</v>
      </c>
      <c r="J30" s="144">
        <f t="shared" si="11"/>
        <v>0.6041009463722398</v>
      </c>
      <c r="K30" s="145">
        <f t="shared" si="11"/>
        <v>0.705482514980771</v>
      </c>
      <c r="M30" s="7"/>
    </row>
    <row r="31" spans="1:13" s="4" customFormat="1" ht="18" thickBot="1" thickTop="1">
      <c r="A31" s="83">
        <v>22</v>
      </c>
      <c r="B31" s="238" t="s">
        <v>32</v>
      </c>
      <c r="C31" s="239"/>
      <c r="D31" s="240"/>
      <c r="E31" s="76">
        <f aca="true" t="shared" si="12" ref="E31:K31">+E29/E5</f>
        <v>0.36163318211276735</v>
      </c>
      <c r="F31" s="76">
        <f t="shared" si="12"/>
        <v>0.6732471068754254</v>
      </c>
      <c r="G31" s="77">
        <f t="shared" si="12"/>
        <v>0.563555801716976</v>
      </c>
      <c r="H31" s="77">
        <f t="shared" si="12"/>
        <v>0.5741927049287489</v>
      </c>
      <c r="I31" s="77">
        <f t="shared" si="12"/>
        <v>0.9050350541746335</v>
      </c>
      <c r="J31" s="77">
        <f t="shared" si="12"/>
        <v>0.5039473684210526</v>
      </c>
      <c r="K31" s="79">
        <f t="shared" si="12"/>
        <v>0.5889404252755858</v>
      </c>
      <c r="M31" s="7"/>
    </row>
    <row r="32" spans="1:13" s="4" customFormat="1" ht="18" thickBot="1" thickTop="1">
      <c r="A32" s="82">
        <v>23</v>
      </c>
      <c r="B32" s="241" t="s">
        <v>21</v>
      </c>
      <c r="C32" s="242"/>
      <c r="D32" s="81" t="s">
        <v>17</v>
      </c>
      <c r="E32" s="74">
        <f aca="true" t="shared" si="13" ref="E32:K32">+E26/E25</f>
        <v>49.15488565488565</v>
      </c>
      <c r="F32" s="75">
        <f t="shared" si="13"/>
        <v>47.44859813084112</v>
      </c>
      <c r="G32" s="75">
        <f t="shared" si="13"/>
        <v>42.214285714285715</v>
      </c>
      <c r="H32" s="75">
        <f t="shared" si="13"/>
        <v>60.469856459330146</v>
      </c>
      <c r="I32" s="75">
        <f t="shared" si="13"/>
        <v>57.33960047003525</v>
      </c>
      <c r="J32" s="75">
        <f t="shared" si="13"/>
        <v>26.329588014981272</v>
      </c>
      <c r="K32" s="78">
        <f t="shared" si="13"/>
        <v>52.290931141355614</v>
      </c>
      <c r="M32" s="7"/>
    </row>
    <row r="33" spans="1:4" ht="18" thickTop="1">
      <c r="A33" s="215" t="s">
        <v>57</v>
      </c>
      <c r="B33" s="215"/>
      <c r="C33" s="215"/>
      <c r="D33" s="215"/>
    </row>
    <row r="34" spans="7:10" ht="18" thickBot="1">
      <c r="G34" s="6"/>
      <c r="H34" s="25"/>
      <c r="I34" s="25"/>
      <c r="J34" s="6"/>
    </row>
    <row r="35" spans="3:11" ht="18" thickBot="1" thickTop="1">
      <c r="C35" s="7" t="s">
        <v>60</v>
      </c>
      <c r="E35" s="55">
        <v>96</v>
      </c>
      <c r="F35" s="56">
        <v>52</v>
      </c>
      <c r="G35" s="56">
        <v>491</v>
      </c>
      <c r="H35" s="56">
        <v>326</v>
      </c>
      <c r="I35" s="56">
        <v>196</v>
      </c>
      <c r="J35" s="164">
        <v>110</v>
      </c>
      <c r="K35" s="7"/>
    </row>
    <row r="36" spans="3:16" ht="18" thickBot="1" thickTop="1">
      <c r="C36" s="7" t="s">
        <v>61</v>
      </c>
      <c r="E36" s="26">
        <v>682</v>
      </c>
      <c r="F36" s="27">
        <v>428</v>
      </c>
      <c r="G36" s="27">
        <v>1778</v>
      </c>
      <c r="H36" s="27">
        <v>3135</v>
      </c>
      <c r="I36" s="27">
        <v>790</v>
      </c>
      <c r="J36" s="28">
        <v>267</v>
      </c>
      <c r="K36" s="7"/>
      <c r="L36" s="7"/>
      <c r="M36" s="7"/>
      <c r="N36" s="7"/>
      <c r="P36" s="7"/>
    </row>
    <row r="37" ht="18" thickTop="1"/>
    <row r="43" ht="17.25">
      <c r="M43" s="8"/>
    </row>
    <row r="46" ht="17.25">
      <c r="M46" s="8"/>
    </row>
  </sheetData>
  <sheetProtection/>
  <mergeCells count="35">
    <mergeCell ref="A33:D33"/>
    <mergeCell ref="B29:D29"/>
    <mergeCell ref="B30:D30"/>
    <mergeCell ref="B31:D31"/>
    <mergeCell ref="B32:C32"/>
    <mergeCell ref="A25:A26"/>
    <mergeCell ref="C25:C26"/>
    <mergeCell ref="B27:D27"/>
    <mergeCell ref="A16:A17"/>
    <mergeCell ref="B16:B26"/>
    <mergeCell ref="C16:C17"/>
    <mergeCell ref="A18:A19"/>
    <mergeCell ref="C18:C19"/>
    <mergeCell ref="A20:A21"/>
    <mergeCell ref="C20:C21"/>
    <mergeCell ref="A1:J1"/>
    <mergeCell ref="A2:J2"/>
    <mergeCell ref="A3:J3"/>
    <mergeCell ref="B4:D4"/>
    <mergeCell ref="C22:C23"/>
    <mergeCell ref="B5:D5"/>
    <mergeCell ref="A22:A23"/>
    <mergeCell ref="C9:D9"/>
    <mergeCell ref="C10:D10"/>
    <mergeCell ref="C11:D11"/>
    <mergeCell ref="B6:D6"/>
    <mergeCell ref="B7:D7"/>
    <mergeCell ref="B8:B15"/>
    <mergeCell ref="C8:D8"/>
    <mergeCell ref="B28:D28"/>
    <mergeCell ref="C15:D15"/>
    <mergeCell ref="C12:D12"/>
    <mergeCell ref="C14:D14"/>
    <mergeCell ref="C24:D24"/>
    <mergeCell ref="C13:D13"/>
  </mergeCells>
  <printOptions/>
  <pageMargins left="0.1968503937007874" right="0.1968503937007874" top="0.1968503937007874" bottom="0.1968503937007874" header="0" footer="0"/>
  <pageSetup horizontalDpi="600" verticalDpi="600" orientation="landscape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38"/>
  <sheetViews>
    <sheetView tabSelected="1" zoomScale="90" zoomScaleNormal="90" zoomScalePageLayoutView="0" workbookViewId="0" topLeftCell="A11">
      <selection activeCell="F39" sqref="F39"/>
    </sheetView>
  </sheetViews>
  <sheetFormatPr defaultColWidth="11.421875" defaultRowHeight="12.75"/>
  <cols>
    <col min="1" max="1" width="5.28125" style="1" bestFit="1" customWidth="1"/>
    <col min="2" max="2" width="3.7109375" style="0" bestFit="1" customWidth="1"/>
    <col min="3" max="3" width="34.00390625" style="0" customWidth="1"/>
    <col min="4" max="4" width="14.28125" style="0" bestFit="1" customWidth="1"/>
    <col min="5" max="5" width="5.28125" style="2" bestFit="1" customWidth="1"/>
    <col min="6" max="6" width="6.140625" style="2" bestFit="1" customWidth="1"/>
    <col min="7" max="7" width="6.140625" style="17" bestFit="1" customWidth="1"/>
    <col min="8" max="8" width="5.28125" style="2" bestFit="1" customWidth="1"/>
    <col min="9" max="9" width="5.28125" style="16" customWidth="1"/>
    <col min="10" max="10" width="6.140625" style="2" bestFit="1" customWidth="1"/>
    <col min="11" max="11" width="5.28125" style="2" bestFit="1" customWidth="1"/>
    <col min="12" max="12" width="7.28125" style="2" bestFit="1" customWidth="1"/>
    <col min="13" max="13" width="7.28125" style="16" bestFit="1" customWidth="1"/>
    <col min="14" max="14" width="6.421875" style="2" customWidth="1"/>
    <col min="15" max="15" width="7.28125" style="2" customWidth="1"/>
    <col min="16" max="16" width="5.28125" style="2" bestFit="1" customWidth="1"/>
    <col min="17" max="17" width="6.28125" style="2" customWidth="1"/>
    <col min="18" max="18" width="6.140625" style="2" bestFit="1" customWidth="1"/>
    <col min="19" max="19" width="7.28125" style="2" customWidth="1"/>
    <col min="20" max="20" width="5.57421875" style="2" bestFit="1" customWidth="1"/>
    <col min="21" max="21" width="7.28125" style="2" bestFit="1" customWidth="1"/>
    <col min="22" max="22" width="7.7109375" style="2" bestFit="1" customWidth="1"/>
    <col min="23" max="23" width="5.57421875" style="2" bestFit="1" customWidth="1"/>
    <col min="24" max="25" width="5.28125" style="2" bestFit="1" customWidth="1"/>
    <col min="26" max="26" width="6.140625" style="2" bestFit="1" customWidth="1"/>
    <col min="27" max="27" width="5.28125" style="2" bestFit="1" customWidth="1"/>
    <col min="28" max="28" width="8.28125" style="0" bestFit="1" customWidth="1"/>
    <col min="29" max="29" width="4.28125" style="0" bestFit="1" customWidth="1"/>
    <col min="30" max="30" width="9.140625" style="0" bestFit="1" customWidth="1"/>
    <col min="31" max="31" width="5.57421875" style="0" bestFit="1" customWidth="1"/>
    <col min="32" max="32" width="6.00390625" style="0" bestFit="1" customWidth="1"/>
    <col min="33" max="33" width="4.28125" style="0" bestFit="1" customWidth="1"/>
    <col min="34" max="34" width="5.28125" style="0" bestFit="1" customWidth="1"/>
    <col min="35" max="35" width="0.2890625" style="0" customWidth="1"/>
    <col min="36" max="37" width="5.421875" style="0" bestFit="1" customWidth="1"/>
    <col min="38" max="38" width="4.28125" style="0" bestFit="1" customWidth="1"/>
    <col min="39" max="39" width="5.421875" style="0" bestFit="1" customWidth="1"/>
    <col min="40" max="40" width="5.28125" style="0" bestFit="1" customWidth="1"/>
    <col min="41" max="41" width="5.421875" style="0" bestFit="1" customWidth="1"/>
    <col min="42" max="43" width="4.28125" style="0" bestFit="1" customWidth="1"/>
    <col min="44" max="44" width="5.28125" style="0" bestFit="1" customWidth="1"/>
    <col min="45" max="49" width="4.28125" style="0" bestFit="1" customWidth="1"/>
    <col min="50" max="50" width="5.28125" style="0" bestFit="1" customWidth="1"/>
    <col min="51" max="51" width="4.28125" style="0" bestFit="1" customWidth="1"/>
    <col min="52" max="52" width="5.28125" style="0" bestFit="1" customWidth="1"/>
    <col min="53" max="53" width="6.421875" style="0" bestFit="1" customWidth="1"/>
  </cols>
  <sheetData>
    <row r="1" spans="1:28" ht="15">
      <c r="A1" s="269" t="s">
        <v>2</v>
      </c>
      <c r="B1" s="269"/>
      <c r="C1" s="269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</row>
    <row r="2" spans="1:28" ht="12.75">
      <c r="A2" s="250" t="s">
        <v>3</v>
      </c>
      <c r="B2" s="250"/>
      <c r="C2" s="250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</row>
    <row r="3" spans="1:28" ht="14.25" thickBot="1">
      <c r="A3" s="270" t="s">
        <v>101</v>
      </c>
      <c r="B3" s="270"/>
      <c r="C3" s="270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28" ht="105" thickBot="1" thickTop="1">
      <c r="A4" s="141" t="s">
        <v>4</v>
      </c>
      <c r="B4" s="253" t="s">
        <v>5</v>
      </c>
      <c r="C4" s="254"/>
      <c r="D4" s="255"/>
      <c r="E4" s="86" t="s">
        <v>38</v>
      </c>
      <c r="F4" s="86" t="s">
        <v>46</v>
      </c>
      <c r="G4" s="86" t="s">
        <v>37</v>
      </c>
      <c r="H4" s="86" t="s">
        <v>58</v>
      </c>
      <c r="I4" s="86" t="s">
        <v>26</v>
      </c>
      <c r="J4" s="86" t="s">
        <v>27</v>
      </c>
      <c r="K4" s="86" t="s">
        <v>47</v>
      </c>
      <c r="L4" s="86" t="s">
        <v>6</v>
      </c>
      <c r="M4" s="86" t="s">
        <v>7</v>
      </c>
      <c r="N4" s="86" t="s">
        <v>48</v>
      </c>
      <c r="O4" s="86" t="s">
        <v>62</v>
      </c>
      <c r="P4" s="86" t="s">
        <v>53</v>
      </c>
      <c r="Q4" s="86" t="s">
        <v>8</v>
      </c>
      <c r="R4" s="86" t="s">
        <v>9</v>
      </c>
      <c r="S4" s="86" t="s">
        <v>10</v>
      </c>
      <c r="T4" s="86" t="s">
        <v>55</v>
      </c>
      <c r="U4" s="86" t="s">
        <v>12</v>
      </c>
      <c r="V4" s="86" t="s">
        <v>54</v>
      </c>
      <c r="W4" s="86" t="s">
        <v>25</v>
      </c>
      <c r="X4" s="86" t="s">
        <v>59</v>
      </c>
      <c r="Y4" s="86" t="s">
        <v>56</v>
      </c>
      <c r="Z4" s="86" t="s">
        <v>24</v>
      </c>
      <c r="AA4" s="86" t="s">
        <v>11</v>
      </c>
      <c r="AB4" s="86" t="s">
        <v>13</v>
      </c>
    </row>
    <row r="5" spans="1:30" ht="15" thickBot="1" thickTop="1">
      <c r="A5" s="87">
        <v>1</v>
      </c>
      <c r="B5" s="258" t="s">
        <v>14</v>
      </c>
      <c r="C5" s="259"/>
      <c r="D5" s="259"/>
      <c r="E5" s="88">
        <v>150</v>
      </c>
      <c r="F5" s="89">
        <v>13</v>
      </c>
      <c r="G5" s="89">
        <v>553</v>
      </c>
      <c r="H5" s="89">
        <v>30</v>
      </c>
      <c r="I5" s="89">
        <v>30</v>
      </c>
      <c r="J5" s="89">
        <v>14</v>
      </c>
      <c r="K5" s="89">
        <v>30</v>
      </c>
      <c r="L5" s="89">
        <v>113</v>
      </c>
      <c r="M5" s="89">
        <v>1001</v>
      </c>
      <c r="N5" s="89">
        <v>90</v>
      </c>
      <c r="O5" s="89">
        <v>56</v>
      </c>
      <c r="P5" s="89">
        <v>60</v>
      </c>
      <c r="Q5" s="89">
        <v>4</v>
      </c>
      <c r="R5" s="89">
        <v>60</v>
      </c>
      <c r="S5" s="89">
        <v>56</v>
      </c>
      <c r="T5" s="89">
        <v>30</v>
      </c>
      <c r="U5" s="89">
        <v>90</v>
      </c>
      <c r="V5" s="89">
        <v>34</v>
      </c>
      <c r="W5" s="89">
        <v>90</v>
      </c>
      <c r="X5" s="89">
        <v>21</v>
      </c>
      <c r="Y5" s="89">
        <v>78</v>
      </c>
      <c r="Z5" s="89">
        <v>72</v>
      </c>
      <c r="AA5" s="89">
        <v>13</v>
      </c>
      <c r="AB5" s="90">
        <f aca="true" t="shared" si="0" ref="AB5:AB29">SUM(E5:AA5)</f>
        <v>2688</v>
      </c>
      <c r="AD5" s="9"/>
    </row>
    <row r="6" spans="1:31" ht="15" thickBot="1" thickTop="1">
      <c r="A6" s="91">
        <v>2</v>
      </c>
      <c r="B6" s="248" t="s">
        <v>15</v>
      </c>
      <c r="C6" s="249"/>
      <c r="D6" s="249"/>
      <c r="E6" s="93">
        <v>0</v>
      </c>
      <c r="F6" s="94">
        <v>0</v>
      </c>
      <c r="G6" s="94">
        <v>0</v>
      </c>
      <c r="H6" s="94">
        <v>0</v>
      </c>
      <c r="I6" s="94">
        <v>0</v>
      </c>
      <c r="J6" s="94">
        <v>0</v>
      </c>
      <c r="K6" s="94">
        <v>0</v>
      </c>
      <c r="L6" s="94">
        <v>0</v>
      </c>
      <c r="M6" s="95">
        <v>0</v>
      </c>
      <c r="N6" s="95">
        <v>0</v>
      </c>
      <c r="O6" s="95">
        <v>0</v>
      </c>
      <c r="P6" s="95">
        <v>0</v>
      </c>
      <c r="Q6" s="95">
        <v>0</v>
      </c>
      <c r="R6" s="95">
        <v>0</v>
      </c>
      <c r="S6" s="95">
        <v>0</v>
      </c>
      <c r="T6" s="95">
        <v>0</v>
      </c>
      <c r="U6" s="95">
        <v>0</v>
      </c>
      <c r="V6" s="95">
        <v>0</v>
      </c>
      <c r="W6" s="95">
        <v>0</v>
      </c>
      <c r="X6" s="95">
        <v>0</v>
      </c>
      <c r="Y6" s="95">
        <v>0</v>
      </c>
      <c r="Z6" s="95">
        <v>0</v>
      </c>
      <c r="AA6" s="95">
        <v>0</v>
      </c>
      <c r="AB6" s="96">
        <f t="shared" si="0"/>
        <v>0</v>
      </c>
      <c r="AD6" s="9"/>
      <c r="AE6" s="9"/>
    </row>
    <row r="7" spans="1:30" ht="15" thickBot="1" thickTop="1">
      <c r="A7" s="97">
        <v>3</v>
      </c>
      <c r="B7" s="248" t="s">
        <v>33</v>
      </c>
      <c r="C7" s="249"/>
      <c r="D7" s="260"/>
      <c r="E7" s="156">
        <v>0</v>
      </c>
      <c r="F7" s="98">
        <v>0</v>
      </c>
      <c r="G7" s="98">
        <v>0</v>
      </c>
      <c r="H7" s="98">
        <v>0</v>
      </c>
      <c r="I7" s="98">
        <v>0</v>
      </c>
      <c r="J7" s="98">
        <v>0</v>
      </c>
      <c r="K7" s="98">
        <v>0</v>
      </c>
      <c r="L7" s="98">
        <v>0</v>
      </c>
      <c r="M7" s="99">
        <v>2</v>
      </c>
      <c r="N7" s="99">
        <v>0</v>
      </c>
      <c r="O7" s="99">
        <v>0</v>
      </c>
      <c r="P7" s="99">
        <v>0</v>
      </c>
      <c r="Q7" s="99">
        <v>0</v>
      </c>
      <c r="R7" s="99">
        <v>0</v>
      </c>
      <c r="S7" s="99">
        <v>0</v>
      </c>
      <c r="T7" s="99">
        <v>0</v>
      </c>
      <c r="U7" s="99">
        <v>0</v>
      </c>
      <c r="V7" s="99">
        <v>0</v>
      </c>
      <c r="W7" s="99">
        <v>0</v>
      </c>
      <c r="X7" s="99">
        <v>0</v>
      </c>
      <c r="Y7" s="99">
        <v>0</v>
      </c>
      <c r="Z7" s="99">
        <v>0</v>
      </c>
      <c r="AA7" s="99">
        <v>0</v>
      </c>
      <c r="AB7" s="100">
        <f t="shared" si="0"/>
        <v>2</v>
      </c>
      <c r="AD7" s="9"/>
    </row>
    <row r="8" spans="1:30" ht="14.25" customHeight="1" thickBot="1" thickTop="1">
      <c r="A8" s="101">
        <v>4</v>
      </c>
      <c r="B8" s="261" t="s">
        <v>0</v>
      </c>
      <c r="C8" s="248" t="s">
        <v>34</v>
      </c>
      <c r="D8" s="249"/>
      <c r="E8" s="93">
        <v>0</v>
      </c>
      <c r="F8" s="94">
        <v>0</v>
      </c>
      <c r="G8" s="95">
        <v>0</v>
      </c>
      <c r="H8" s="95">
        <v>0</v>
      </c>
      <c r="I8" s="95">
        <v>14</v>
      </c>
      <c r="J8" s="95">
        <v>0</v>
      </c>
      <c r="K8" s="95">
        <v>0</v>
      </c>
      <c r="L8" s="95">
        <v>0</v>
      </c>
      <c r="M8" s="95">
        <v>4</v>
      </c>
      <c r="N8" s="95">
        <v>0</v>
      </c>
      <c r="O8" s="95">
        <v>0</v>
      </c>
      <c r="P8" s="102">
        <v>9</v>
      </c>
      <c r="Q8" s="94">
        <v>0</v>
      </c>
      <c r="R8" s="94">
        <v>0</v>
      </c>
      <c r="S8" s="94">
        <v>0</v>
      </c>
      <c r="T8" s="94">
        <v>0</v>
      </c>
      <c r="U8" s="94">
        <v>0</v>
      </c>
      <c r="V8" s="94">
        <v>0</v>
      </c>
      <c r="W8" s="94">
        <v>0</v>
      </c>
      <c r="X8" s="94">
        <v>0</v>
      </c>
      <c r="Y8" s="94">
        <v>0</v>
      </c>
      <c r="Z8" s="94">
        <v>0</v>
      </c>
      <c r="AA8" s="94">
        <v>0</v>
      </c>
      <c r="AB8" s="100">
        <f t="shared" si="0"/>
        <v>27</v>
      </c>
      <c r="AD8" s="9"/>
    </row>
    <row r="9" spans="1:30" ht="18.75" customHeight="1" thickBot="1" thickTop="1">
      <c r="A9" s="104">
        <v>5</v>
      </c>
      <c r="B9" s="262"/>
      <c r="C9" s="248" t="s">
        <v>29</v>
      </c>
      <c r="D9" s="249"/>
      <c r="E9" s="105">
        <v>0</v>
      </c>
      <c r="F9" s="106">
        <v>0</v>
      </c>
      <c r="G9" s="106">
        <v>1</v>
      </c>
      <c r="H9" s="106">
        <v>0</v>
      </c>
      <c r="I9" s="107">
        <v>0</v>
      </c>
      <c r="J9" s="107">
        <v>0</v>
      </c>
      <c r="K9" s="107">
        <v>0</v>
      </c>
      <c r="L9" s="107">
        <v>0</v>
      </c>
      <c r="M9" s="107">
        <v>2</v>
      </c>
      <c r="N9" s="107">
        <v>2</v>
      </c>
      <c r="O9" s="107">
        <v>0</v>
      </c>
      <c r="P9" s="108">
        <v>0</v>
      </c>
      <c r="Q9" s="108">
        <v>0</v>
      </c>
      <c r="R9" s="108">
        <v>0</v>
      </c>
      <c r="S9" s="108">
        <v>0</v>
      </c>
      <c r="T9" s="108">
        <v>0</v>
      </c>
      <c r="U9" s="108">
        <v>0</v>
      </c>
      <c r="V9" s="108">
        <v>0</v>
      </c>
      <c r="W9" s="108">
        <v>0</v>
      </c>
      <c r="X9" s="108">
        <v>0</v>
      </c>
      <c r="Y9" s="108">
        <v>0</v>
      </c>
      <c r="Z9" s="108">
        <v>0</v>
      </c>
      <c r="AA9" s="108">
        <v>0</v>
      </c>
      <c r="AB9" s="100">
        <f t="shared" si="0"/>
        <v>5</v>
      </c>
      <c r="AD9" s="9"/>
    </row>
    <row r="10" spans="1:30" ht="18.75" customHeight="1" thickBot="1" thickTop="1">
      <c r="A10" s="104">
        <v>6</v>
      </c>
      <c r="B10" s="262"/>
      <c r="C10" s="248" t="s">
        <v>30</v>
      </c>
      <c r="D10" s="249"/>
      <c r="E10" s="105">
        <v>0</v>
      </c>
      <c r="F10" s="106">
        <v>0</v>
      </c>
      <c r="G10" s="107">
        <v>3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/>
      <c r="O10" s="107">
        <v>0</v>
      </c>
      <c r="P10" s="108">
        <v>0</v>
      </c>
      <c r="Q10" s="108">
        <v>0</v>
      </c>
      <c r="R10" s="108">
        <v>0</v>
      </c>
      <c r="S10" s="108">
        <v>0</v>
      </c>
      <c r="T10" s="108">
        <v>0</v>
      </c>
      <c r="U10" s="107">
        <v>0</v>
      </c>
      <c r="V10" s="107">
        <v>0</v>
      </c>
      <c r="W10" s="107">
        <v>0</v>
      </c>
      <c r="X10" s="107">
        <v>0</v>
      </c>
      <c r="Y10" s="107">
        <v>0</v>
      </c>
      <c r="Z10" s="107">
        <v>0</v>
      </c>
      <c r="AA10" s="107">
        <v>0</v>
      </c>
      <c r="AB10" s="100">
        <f t="shared" si="0"/>
        <v>3</v>
      </c>
      <c r="AD10" s="9"/>
    </row>
    <row r="11" spans="1:30" ht="18" customHeight="1" thickBot="1" thickTop="1">
      <c r="A11" s="104">
        <v>7</v>
      </c>
      <c r="B11" s="262"/>
      <c r="C11" s="248" t="s">
        <v>31</v>
      </c>
      <c r="D11" s="249"/>
      <c r="E11" s="110">
        <v>0</v>
      </c>
      <c r="F11" s="111">
        <v>0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2">
        <v>0</v>
      </c>
      <c r="N11" s="112">
        <v>0</v>
      </c>
      <c r="O11" s="112">
        <v>3</v>
      </c>
      <c r="P11" s="113">
        <v>0</v>
      </c>
      <c r="Q11" s="113">
        <v>0</v>
      </c>
      <c r="R11" s="113">
        <v>0</v>
      </c>
      <c r="S11" s="113">
        <v>0</v>
      </c>
      <c r="T11" s="113">
        <v>0</v>
      </c>
      <c r="U11" s="112">
        <v>2</v>
      </c>
      <c r="V11" s="112">
        <v>0</v>
      </c>
      <c r="W11" s="112">
        <v>0</v>
      </c>
      <c r="X11" s="112">
        <v>0</v>
      </c>
      <c r="Y11" s="112">
        <v>0</v>
      </c>
      <c r="Z11" s="112">
        <v>0</v>
      </c>
      <c r="AA11" s="112">
        <v>0</v>
      </c>
      <c r="AB11" s="100">
        <f t="shared" si="0"/>
        <v>5</v>
      </c>
      <c r="AD11" s="9"/>
    </row>
    <row r="12" spans="1:30" ht="18.75" customHeight="1" thickBot="1" thickTop="1">
      <c r="A12" s="104">
        <v>8</v>
      </c>
      <c r="B12" s="262"/>
      <c r="C12" s="248" t="s">
        <v>44</v>
      </c>
      <c r="D12" s="249"/>
      <c r="E12" s="115">
        <f>IF((E8+E9+E10+E11)&gt;E35,0,(+E35-E8-E9-E10-E11))</f>
        <v>12</v>
      </c>
      <c r="F12" s="116">
        <f>IF((F8+F9+F10+F11)&gt;F35,0,(+F35-F8-F9-F10-F11))</f>
        <v>4</v>
      </c>
      <c r="G12" s="116">
        <f aca="true" t="shared" si="1" ref="G12:AA12">IF((G8+G9+G10+G11)&gt;G35,0,(+G35-G8-G9-G10-G11))</f>
        <v>0</v>
      </c>
      <c r="H12" s="116">
        <f t="shared" si="1"/>
        <v>0</v>
      </c>
      <c r="I12" s="116">
        <f t="shared" si="1"/>
        <v>0</v>
      </c>
      <c r="J12" s="116">
        <f t="shared" si="1"/>
        <v>0</v>
      </c>
      <c r="K12" s="116">
        <f t="shared" si="1"/>
        <v>1</v>
      </c>
      <c r="L12" s="116">
        <f t="shared" si="1"/>
        <v>14</v>
      </c>
      <c r="M12" s="116">
        <f t="shared" si="1"/>
        <v>0</v>
      </c>
      <c r="N12" s="116">
        <f t="shared" si="1"/>
        <v>0</v>
      </c>
      <c r="O12" s="116">
        <f>IF((O8+O9+O10+O11)&gt;O35,0,(+O35-O8-O9-O10-O11))</f>
        <v>4</v>
      </c>
      <c r="P12" s="116">
        <f t="shared" si="1"/>
        <v>0</v>
      </c>
      <c r="Q12" s="116">
        <f t="shared" si="1"/>
        <v>0</v>
      </c>
      <c r="R12" s="116">
        <f t="shared" si="1"/>
        <v>1</v>
      </c>
      <c r="S12" s="116">
        <f t="shared" si="1"/>
        <v>12</v>
      </c>
      <c r="T12" s="116">
        <f>IF((T8+T9+T10+T11)&gt;T35,0,(+T35-T8-T9-T10-T11))</f>
        <v>0</v>
      </c>
      <c r="U12" s="116">
        <f t="shared" si="1"/>
        <v>19</v>
      </c>
      <c r="V12" s="116">
        <v>0</v>
      </c>
      <c r="W12" s="116">
        <f t="shared" si="1"/>
        <v>18</v>
      </c>
      <c r="X12" s="116">
        <f>IF((X8+X9+X10+X11)&gt;X35,0,(+X35-X8-X9-X10-X11))</f>
        <v>3</v>
      </c>
      <c r="Y12" s="116">
        <f>IF((Y8+Y9+Y10+Y11)&gt;Y35,0,(+Y35-Y8-Y9-Y10-Y11))</f>
        <v>4</v>
      </c>
      <c r="Z12" s="116">
        <f t="shared" si="1"/>
        <v>6</v>
      </c>
      <c r="AA12" s="116">
        <f t="shared" si="1"/>
        <v>0</v>
      </c>
      <c r="AB12" s="157">
        <f t="shared" si="0"/>
        <v>98</v>
      </c>
      <c r="AD12" s="9"/>
    </row>
    <row r="13" spans="1:30" ht="18.75" customHeight="1" thickBot="1" thickTop="1">
      <c r="A13" s="104">
        <v>9</v>
      </c>
      <c r="B13" s="262"/>
      <c r="C13" s="248" t="s">
        <v>49</v>
      </c>
      <c r="D13" s="249"/>
      <c r="E13" s="118">
        <f>E8+E9</f>
        <v>0</v>
      </c>
      <c r="F13" s="119">
        <f aca="true" t="shared" si="2" ref="F13:AA13">F8+F9</f>
        <v>0</v>
      </c>
      <c r="G13" s="119">
        <f t="shared" si="2"/>
        <v>1</v>
      </c>
      <c r="H13" s="119">
        <f>H8+H9</f>
        <v>0</v>
      </c>
      <c r="I13" s="119">
        <f t="shared" si="2"/>
        <v>14</v>
      </c>
      <c r="J13" s="119">
        <f>J8+J9</f>
        <v>0</v>
      </c>
      <c r="K13" s="119">
        <f>K8+K9</f>
        <v>0</v>
      </c>
      <c r="L13" s="119">
        <f t="shared" si="2"/>
        <v>0</v>
      </c>
      <c r="M13" s="119">
        <f>M8+M9</f>
        <v>6</v>
      </c>
      <c r="N13" s="119">
        <f>N8+N9</f>
        <v>2</v>
      </c>
      <c r="O13" s="119">
        <f>O8+O9</f>
        <v>0</v>
      </c>
      <c r="P13" s="119">
        <f>P8+P9</f>
        <v>9</v>
      </c>
      <c r="Q13" s="119">
        <f t="shared" si="2"/>
        <v>0</v>
      </c>
      <c r="R13" s="119">
        <f t="shared" si="2"/>
        <v>0</v>
      </c>
      <c r="S13" s="119">
        <f t="shared" si="2"/>
        <v>0</v>
      </c>
      <c r="T13" s="119">
        <f>T8+T9</f>
        <v>0</v>
      </c>
      <c r="U13" s="119">
        <f t="shared" si="2"/>
        <v>0</v>
      </c>
      <c r="V13" s="119">
        <f>V8+V9</f>
        <v>0</v>
      </c>
      <c r="W13" s="119">
        <f t="shared" si="2"/>
        <v>0</v>
      </c>
      <c r="X13" s="119">
        <f>X8+X9</f>
        <v>0</v>
      </c>
      <c r="Y13" s="119">
        <f>Y8+Y9</f>
        <v>0</v>
      </c>
      <c r="Z13" s="119">
        <f t="shared" si="2"/>
        <v>0</v>
      </c>
      <c r="AA13" s="119">
        <f t="shared" si="2"/>
        <v>0</v>
      </c>
      <c r="AB13" s="103">
        <f t="shared" si="0"/>
        <v>32</v>
      </c>
      <c r="AD13" s="9"/>
    </row>
    <row r="14" spans="1:30" ht="18.75" customHeight="1" thickBot="1" thickTop="1">
      <c r="A14" s="104">
        <v>10</v>
      </c>
      <c r="B14" s="262"/>
      <c r="C14" s="248" t="s">
        <v>50</v>
      </c>
      <c r="D14" s="249"/>
      <c r="E14" s="120">
        <f>E10+E11</f>
        <v>0</v>
      </c>
      <c r="F14" s="121">
        <f aca="true" t="shared" si="3" ref="F14:AA14">F10+F11</f>
        <v>0</v>
      </c>
      <c r="G14" s="121">
        <f t="shared" si="3"/>
        <v>3</v>
      </c>
      <c r="H14" s="121">
        <f>H10+H11</f>
        <v>0</v>
      </c>
      <c r="I14" s="121">
        <f t="shared" si="3"/>
        <v>0</v>
      </c>
      <c r="J14" s="121">
        <f t="shared" si="3"/>
        <v>0</v>
      </c>
      <c r="K14" s="121">
        <f t="shared" si="3"/>
        <v>0</v>
      </c>
      <c r="L14" s="121">
        <f t="shared" si="3"/>
        <v>0</v>
      </c>
      <c r="M14" s="121">
        <f>M10+M11</f>
        <v>0</v>
      </c>
      <c r="N14" s="121">
        <f>N10+N11</f>
        <v>0</v>
      </c>
      <c r="O14" s="121">
        <f>O10+O11</f>
        <v>3</v>
      </c>
      <c r="P14" s="121">
        <f>P10+P11</f>
        <v>0</v>
      </c>
      <c r="Q14" s="121">
        <f t="shared" si="3"/>
        <v>0</v>
      </c>
      <c r="R14" s="121">
        <f t="shared" si="3"/>
        <v>0</v>
      </c>
      <c r="S14" s="121">
        <f t="shared" si="3"/>
        <v>0</v>
      </c>
      <c r="T14" s="121">
        <f>T10+T11</f>
        <v>0</v>
      </c>
      <c r="U14" s="121">
        <f t="shared" si="3"/>
        <v>2</v>
      </c>
      <c r="V14" s="121">
        <f>V10+V11</f>
        <v>0</v>
      </c>
      <c r="W14" s="121">
        <f t="shared" si="3"/>
        <v>0</v>
      </c>
      <c r="X14" s="121">
        <f>X10+X11</f>
        <v>0</v>
      </c>
      <c r="Y14" s="121">
        <f>Y10+Y11</f>
        <v>0</v>
      </c>
      <c r="Z14" s="121">
        <f t="shared" si="3"/>
        <v>0</v>
      </c>
      <c r="AA14" s="121">
        <f t="shared" si="3"/>
        <v>0</v>
      </c>
      <c r="AB14" s="114">
        <f t="shared" si="0"/>
        <v>8</v>
      </c>
      <c r="AD14" s="9"/>
    </row>
    <row r="15" spans="1:30" ht="24.75" customHeight="1" thickBot="1" thickTop="1">
      <c r="A15" s="104">
        <v>11</v>
      </c>
      <c r="B15" s="263"/>
      <c r="C15" s="256" t="s">
        <v>23</v>
      </c>
      <c r="D15" s="257"/>
      <c r="E15" s="161">
        <f>IF((E8+E9+E10+E11)&gt;E35,(E8+E9+E10+E11),E35)</f>
        <v>12</v>
      </c>
      <c r="F15" s="162">
        <f>IF((F8+F9+F10+F11)&gt;F35,(F8+F9+F10+F11),F35)</f>
        <v>4</v>
      </c>
      <c r="G15" s="162">
        <f aca="true" t="shared" si="4" ref="G15:AA15">IF((G8+G9+G10+G11)&gt;G35,(G8+G9+G10+G11),G35)</f>
        <v>4</v>
      </c>
      <c r="H15" s="162">
        <f t="shared" si="4"/>
        <v>0</v>
      </c>
      <c r="I15" s="162">
        <f t="shared" si="4"/>
        <v>14</v>
      </c>
      <c r="J15" s="162">
        <f t="shared" si="4"/>
        <v>0</v>
      </c>
      <c r="K15" s="162">
        <f t="shared" si="4"/>
        <v>1</v>
      </c>
      <c r="L15" s="162">
        <f t="shared" si="4"/>
        <v>14</v>
      </c>
      <c r="M15" s="162">
        <f t="shared" si="4"/>
        <v>6</v>
      </c>
      <c r="N15" s="162">
        <f t="shared" si="4"/>
        <v>2</v>
      </c>
      <c r="O15" s="162">
        <f>IF((O8+O9+O10+O11)&gt;O35,(O8+O9+O10+O11),O35)</f>
        <v>7</v>
      </c>
      <c r="P15" s="162">
        <f t="shared" si="4"/>
        <v>9</v>
      </c>
      <c r="Q15" s="162">
        <f t="shared" si="4"/>
        <v>0</v>
      </c>
      <c r="R15" s="162">
        <f t="shared" si="4"/>
        <v>1</v>
      </c>
      <c r="S15" s="162">
        <f t="shared" si="4"/>
        <v>12</v>
      </c>
      <c r="T15" s="162">
        <f>IF((T8+T9+T10+T11)&gt;T35,(T8+T9+T10+T11),T35)</f>
        <v>0</v>
      </c>
      <c r="U15" s="162">
        <f t="shared" si="4"/>
        <v>21</v>
      </c>
      <c r="V15" s="162">
        <f t="shared" si="4"/>
        <v>0</v>
      </c>
      <c r="W15" s="162">
        <f t="shared" si="4"/>
        <v>18</v>
      </c>
      <c r="X15" s="162">
        <f>IF((X8+X9+X10+X11)&gt;X35,(X8+X9+X10+X11),X35)</f>
        <v>3</v>
      </c>
      <c r="Y15" s="162">
        <f t="shared" si="4"/>
        <v>4</v>
      </c>
      <c r="Z15" s="162">
        <f t="shared" si="4"/>
        <v>6</v>
      </c>
      <c r="AA15" s="162">
        <f t="shared" si="4"/>
        <v>0</v>
      </c>
      <c r="AB15" s="163">
        <f t="shared" si="0"/>
        <v>138</v>
      </c>
      <c r="AD15" s="9"/>
    </row>
    <row r="16" spans="1:30" ht="18" customHeight="1" thickBot="1" thickTop="1">
      <c r="A16" s="282">
        <v>12</v>
      </c>
      <c r="B16" s="261" t="s">
        <v>1</v>
      </c>
      <c r="C16" s="264" t="s">
        <v>28</v>
      </c>
      <c r="D16" s="92" t="s">
        <v>16</v>
      </c>
      <c r="E16" s="93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/>
      <c r="M16" s="94">
        <v>0</v>
      </c>
      <c r="N16" s="94">
        <v>0</v>
      </c>
      <c r="O16" s="94">
        <v>0</v>
      </c>
      <c r="P16" s="94">
        <v>0</v>
      </c>
      <c r="Q16" s="94">
        <v>0</v>
      </c>
      <c r="R16" s="94">
        <v>0</v>
      </c>
      <c r="S16" s="94">
        <v>0</v>
      </c>
      <c r="T16" s="94">
        <v>0</v>
      </c>
      <c r="U16" s="94">
        <v>0</v>
      </c>
      <c r="V16" s="94">
        <v>0</v>
      </c>
      <c r="W16" s="94">
        <v>0</v>
      </c>
      <c r="X16" s="94">
        <v>0</v>
      </c>
      <c r="Y16" s="94">
        <v>0</v>
      </c>
      <c r="Z16" s="94">
        <v>0</v>
      </c>
      <c r="AA16" s="94">
        <v>0</v>
      </c>
      <c r="AB16" s="103">
        <f t="shared" si="0"/>
        <v>0</v>
      </c>
      <c r="AD16" s="9"/>
    </row>
    <row r="17" spans="1:30" ht="18.75" customHeight="1" thickBot="1" thickTop="1">
      <c r="A17" s="267"/>
      <c r="B17" s="262"/>
      <c r="C17" s="265"/>
      <c r="D17" s="92" t="s">
        <v>17</v>
      </c>
      <c r="E17" s="105">
        <v>0</v>
      </c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106">
        <v>0</v>
      </c>
      <c r="L17" s="106"/>
      <c r="M17" s="106">
        <v>0</v>
      </c>
      <c r="N17" s="106">
        <v>0</v>
      </c>
      <c r="O17" s="106">
        <v>0</v>
      </c>
      <c r="P17" s="106">
        <v>0</v>
      </c>
      <c r="Q17" s="106">
        <v>0</v>
      </c>
      <c r="R17" s="106">
        <v>0</v>
      </c>
      <c r="S17" s="94">
        <v>0</v>
      </c>
      <c r="T17" s="94">
        <v>0</v>
      </c>
      <c r="U17" s="106">
        <v>0</v>
      </c>
      <c r="V17" s="106">
        <v>0</v>
      </c>
      <c r="W17" s="106">
        <v>0</v>
      </c>
      <c r="X17" s="106">
        <v>0</v>
      </c>
      <c r="Y17" s="94">
        <v>0</v>
      </c>
      <c r="Z17" s="106">
        <v>0</v>
      </c>
      <c r="AA17" s="106">
        <v>0</v>
      </c>
      <c r="AB17" s="109">
        <f t="shared" si="0"/>
        <v>0</v>
      </c>
      <c r="AD17" s="9"/>
    </row>
    <row r="18" spans="1:30" ht="18.75" customHeight="1" thickBot="1" thickTop="1">
      <c r="A18" s="266">
        <v>13</v>
      </c>
      <c r="B18" s="262"/>
      <c r="C18" s="264" t="s">
        <v>35</v>
      </c>
      <c r="D18" s="92" t="s">
        <v>16</v>
      </c>
      <c r="E18" s="105">
        <v>0</v>
      </c>
      <c r="F18" s="106">
        <v>1</v>
      </c>
      <c r="G18" s="107">
        <v>55</v>
      </c>
      <c r="H18" s="107">
        <v>3</v>
      </c>
      <c r="I18" s="107">
        <v>3</v>
      </c>
      <c r="J18" s="107">
        <v>1</v>
      </c>
      <c r="K18" s="106">
        <v>13</v>
      </c>
      <c r="L18" s="107">
        <v>3</v>
      </c>
      <c r="M18" s="107">
        <v>223</v>
      </c>
      <c r="N18" s="107">
        <v>18</v>
      </c>
      <c r="O18" s="107">
        <v>0</v>
      </c>
      <c r="P18" s="107">
        <v>1</v>
      </c>
      <c r="Q18" s="106">
        <v>0</v>
      </c>
      <c r="R18" s="107">
        <v>6</v>
      </c>
      <c r="S18" s="94">
        <v>0</v>
      </c>
      <c r="T18" s="94">
        <v>0</v>
      </c>
      <c r="U18" s="107">
        <v>5</v>
      </c>
      <c r="V18" s="106">
        <v>0</v>
      </c>
      <c r="W18" s="106">
        <v>0</v>
      </c>
      <c r="X18" s="106">
        <v>0</v>
      </c>
      <c r="Y18" s="94">
        <v>0</v>
      </c>
      <c r="Z18" s="107">
        <v>2</v>
      </c>
      <c r="AA18" s="107">
        <v>0</v>
      </c>
      <c r="AB18" s="109">
        <f t="shared" si="0"/>
        <v>334</v>
      </c>
      <c r="AD18" s="9"/>
    </row>
    <row r="19" spans="1:30" ht="18.75" customHeight="1" thickBot="1" thickTop="1">
      <c r="A19" s="267"/>
      <c r="B19" s="262"/>
      <c r="C19" s="265"/>
      <c r="D19" s="92" t="s">
        <v>17</v>
      </c>
      <c r="E19" s="105">
        <v>0</v>
      </c>
      <c r="F19" s="106">
        <f>15*60+30</f>
        <v>930</v>
      </c>
      <c r="G19" s="107">
        <f>36*60+6</f>
        <v>2166</v>
      </c>
      <c r="H19" s="107">
        <f>4*60+14</f>
        <v>254</v>
      </c>
      <c r="I19" s="107">
        <v>80</v>
      </c>
      <c r="J19" s="107">
        <f>15*60+5</f>
        <v>905</v>
      </c>
      <c r="K19" s="106">
        <f>5*60+6</f>
        <v>306</v>
      </c>
      <c r="L19" s="107">
        <v>895</v>
      </c>
      <c r="M19" s="107">
        <v>0</v>
      </c>
      <c r="N19" s="107">
        <f>8*60+65</f>
        <v>545</v>
      </c>
      <c r="O19" s="107">
        <v>0</v>
      </c>
      <c r="P19" s="107">
        <v>60</v>
      </c>
      <c r="Q19" s="106">
        <v>0</v>
      </c>
      <c r="R19" s="107">
        <f>80*60</f>
        <v>4800</v>
      </c>
      <c r="S19" s="94">
        <v>0</v>
      </c>
      <c r="T19" s="94">
        <v>0</v>
      </c>
      <c r="U19" s="107">
        <f>2*60</f>
        <v>120</v>
      </c>
      <c r="V19" s="106">
        <v>0</v>
      </c>
      <c r="W19" s="106">
        <v>0</v>
      </c>
      <c r="X19" s="106">
        <v>0</v>
      </c>
      <c r="Y19" s="94">
        <v>0</v>
      </c>
      <c r="Z19" s="107">
        <v>120</v>
      </c>
      <c r="AA19" s="107">
        <v>0</v>
      </c>
      <c r="AB19" s="109">
        <f t="shared" si="0"/>
        <v>11181</v>
      </c>
      <c r="AD19" s="9"/>
    </row>
    <row r="20" spans="1:30" ht="18.75" customHeight="1" thickBot="1" thickTop="1">
      <c r="A20" s="266">
        <v>14</v>
      </c>
      <c r="B20" s="262"/>
      <c r="C20" s="264" t="s">
        <v>30</v>
      </c>
      <c r="D20" s="92" t="s">
        <v>16</v>
      </c>
      <c r="E20" s="105">
        <v>0</v>
      </c>
      <c r="F20" s="106">
        <v>0</v>
      </c>
      <c r="G20" s="107">
        <v>18</v>
      </c>
      <c r="H20" s="107">
        <v>0</v>
      </c>
      <c r="I20" s="107">
        <v>0</v>
      </c>
      <c r="J20" s="107">
        <v>1</v>
      </c>
      <c r="K20" s="106">
        <v>0</v>
      </c>
      <c r="L20" s="107">
        <v>4</v>
      </c>
      <c r="M20" s="107">
        <v>19</v>
      </c>
      <c r="N20" s="107">
        <v>0</v>
      </c>
      <c r="O20" s="107">
        <v>0</v>
      </c>
      <c r="P20" s="107">
        <v>2</v>
      </c>
      <c r="Q20" s="106">
        <v>0</v>
      </c>
      <c r="R20" s="107">
        <v>0</v>
      </c>
      <c r="S20" s="94">
        <v>0</v>
      </c>
      <c r="T20" s="94">
        <v>0</v>
      </c>
      <c r="U20" s="107">
        <v>0</v>
      </c>
      <c r="V20" s="106">
        <v>0</v>
      </c>
      <c r="W20" s="106">
        <v>0</v>
      </c>
      <c r="X20" s="106">
        <v>0</v>
      </c>
      <c r="Y20" s="94">
        <v>0</v>
      </c>
      <c r="Z20" s="107">
        <v>1</v>
      </c>
      <c r="AA20" s="107">
        <v>0</v>
      </c>
      <c r="AB20" s="109">
        <f t="shared" si="0"/>
        <v>45</v>
      </c>
      <c r="AD20" s="9"/>
    </row>
    <row r="21" spans="1:30" ht="18.75" customHeight="1" thickBot="1" thickTop="1">
      <c r="A21" s="267"/>
      <c r="B21" s="262"/>
      <c r="C21" s="265"/>
      <c r="D21" s="92" t="s">
        <v>17</v>
      </c>
      <c r="E21" s="105">
        <v>0</v>
      </c>
      <c r="F21" s="106">
        <v>0</v>
      </c>
      <c r="G21" s="107">
        <f>17*60+56</f>
        <v>1076</v>
      </c>
      <c r="H21" s="107">
        <v>0</v>
      </c>
      <c r="I21" s="107">
        <v>0</v>
      </c>
      <c r="J21" s="107">
        <v>60</v>
      </c>
      <c r="K21" s="106">
        <v>0</v>
      </c>
      <c r="L21" s="107">
        <v>230</v>
      </c>
      <c r="M21" s="107">
        <v>0</v>
      </c>
      <c r="N21" s="107">
        <v>0</v>
      </c>
      <c r="O21" s="107">
        <v>0</v>
      </c>
      <c r="P21" s="107">
        <v>60</v>
      </c>
      <c r="Q21" s="106">
        <v>0</v>
      </c>
      <c r="R21" s="107">
        <v>0</v>
      </c>
      <c r="S21" s="94">
        <v>0</v>
      </c>
      <c r="T21" s="94">
        <v>0</v>
      </c>
      <c r="U21" s="107">
        <v>0</v>
      </c>
      <c r="V21" s="106">
        <v>0</v>
      </c>
      <c r="W21" s="106">
        <v>0</v>
      </c>
      <c r="X21" s="106">
        <v>0</v>
      </c>
      <c r="Y21" s="94">
        <v>0</v>
      </c>
      <c r="Z21" s="107">
        <v>60</v>
      </c>
      <c r="AA21" s="107">
        <v>0</v>
      </c>
      <c r="AB21" s="109">
        <f t="shared" si="0"/>
        <v>1486</v>
      </c>
      <c r="AD21" s="9"/>
    </row>
    <row r="22" spans="1:30" ht="18.75" customHeight="1" thickBot="1" thickTop="1">
      <c r="A22" s="266">
        <v>15</v>
      </c>
      <c r="B22" s="262"/>
      <c r="C22" s="264" t="s">
        <v>31</v>
      </c>
      <c r="D22" s="92" t="s">
        <v>16</v>
      </c>
      <c r="E22" s="105">
        <v>0</v>
      </c>
      <c r="F22" s="106">
        <v>6</v>
      </c>
      <c r="G22" s="107">
        <v>15</v>
      </c>
      <c r="H22" s="107">
        <v>8</v>
      </c>
      <c r="I22" s="107">
        <v>0</v>
      </c>
      <c r="J22" s="107">
        <v>1</v>
      </c>
      <c r="K22" s="106">
        <v>0</v>
      </c>
      <c r="L22" s="107">
        <v>9</v>
      </c>
      <c r="M22" s="107">
        <v>43</v>
      </c>
      <c r="N22" s="107">
        <v>10</v>
      </c>
      <c r="O22" s="107">
        <v>10</v>
      </c>
      <c r="P22" s="107">
        <v>10</v>
      </c>
      <c r="Q22" s="106">
        <v>1</v>
      </c>
      <c r="R22" s="107">
        <v>2</v>
      </c>
      <c r="S22" s="94">
        <v>0</v>
      </c>
      <c r="T22" s="94">
        <v>0</v>
      </c>
      <c r="U22" s="107">
        <v>7</v>
      </c>
      <c r="V22" s="106">
        <v>4</v>
      </c>
      <c r="W22" s="107">
        <v>0</v>
      </c>
      <c r="X22" s="107">
        <v>4</v>
      </c>
      <c r="Y22" s="94">
        <v>0</v>
      </c>
      <c r="Z22" s="107">
        <v>9</v>
      </c>
      <c r="AA22" s="107">
        <v>8</v>
      </c>
      <c r="AB22" s="109">
        <f t="shared" si="0"/>
        <v>147</v>
      </c>
      <c r="AD22" s="9"/>
    </row>
    <row r="23" spans="1:30" ht="18.75" customHeight="1" thickBot="1" thickTop="1">
      <c r="A23" s="267"/>
      <c r="B23" s="262"/>
      <c r="C23" s="265"/>
      <c r="D23" s="92" t="s">
        <v>17</v>
      </c>
      <c r="E23" s="110">
        <v>0</v>
      </c>
      <c r="F23" s="111">
        <f>15*60</f>
        <v>900</v>
      </c>
      <c r="G23" s="112">
        <f>11*60+3</f>
        <v>663</v>
      </c>
      <c r="H23" s="112">
        <f>5*60+16</f>
        <v>316</v>
      </c>
      <c r="I23" s="112">
        <v>0</v>
      </c>
      <c r="J23" s="112">
        <v>60</v>
      </c>
      <c r="K23" s="111">
        <v>0</v>
      </c>
      <c r="L23" s="112">
        <v>1627</v>
      </c>
      <c r="M23" s="112">
        <v>0</v>
      </c>
      <c r="N23" s="112">
        <f>7*60+95</f>
        <v>515</v>
      </c>
      <c r="O23" s="112">
        <v>819</v>
      </c>
      <c r="P23" s="112">
        <f>3*60+13</f>
        <v>193</v>
      </c>
      <c r="Q23" s="111">
        <v>60</v>
      </c>
      <c r="R23" s="112">
        <f>3*60</f>
        <v>180</v>
      </c>
      <c r="S23" s="94">
        <v>0</v>
      </c>
      <c r="T23" s="94">
        <v>0</v>
      </c>
      <c r="U23" s="112">
        <f>6*60+15</f>
        <v>375</v>
      </c>
      <c r="V23" s="111">
        <v>60</v>
      </c>
      <c r="W23" s="112">
        <v>0</v>
      </c>
      <c r="X23" s="112">
        <f>1*60+23</f>
        <v>83</v>
      </c>
      <c r="Y23" s="94">
        <v>0</v>
      </c>
      <c r="Z23" s="112">
        <f>11*60+4</f>
        <v>664</v>
      </c>
      <c r="AA23" s="112">
        <f>5*60+33</f>
        <v>333</v>
      </c>
      <c r="AB23" s="114">
        <f t="shared" si="0"/>
        <v>6848</v>
      </c>
      <c r="AD23" s="9"/>
    </row>
    <row r="24" spans="1:30" ht="18.75" customHeight="1" thickBot="1" thickTop="1">
      <c r="A24" s="122">
        <v>16</v>
      </c>
      <c r="B24" s="262"/>
      <c r="C24" s="248" t="s">
        <v>44</v>
      </c>
      <c r="D24" s="249"/>
      <c r="E24" s="115">
        <f>IF((E16+E18+E20+E22)&gt;E36,0,(+E36-E16-E18-E20-E22))</f>
        <v>29</v>
      </c>
      <c r="F24" s="116">
        <f aca="true" t="shared" si="5" ref="F24:AA24">IF((F16+F18+F20+F22)&gt;F36,0,(+F36-F16-F18-F20-F22))</f>
        <v>0</v>
      </c>
      <c r="G24" s="116">
        <f t="shared" si="5"/>
        <v>31</v>
      </c>
      <c r="H24" s="116">
        <f>IF((H16+H18+H20+H22)&gt;H36,0,(+H36-H16-H18-H20-H22))</f>
        <v>0</v>
      </c>
      <c r="I24" s="116">
        <f t="shared" si="5"/>
        <v>0</v>
      </c>
      <c r="J24" s="116">
        <f t="shared" si="5"/>
        <v>3</v>
      </c>
      <c r="K24" s="116">
        <f t="shared" si="5"/>
        <v>0</v>
      </c>
      <c r="L24" s="116">
        <f t="shared" si="5"/>
        <v>29</v>
      </c>
      <c r="M24" s="116">
        <f t="shared" si="5"/>
        <v>9</v>
      </c>
      <c r="N24" s="116">
        <f t="shared" si="5"/>
        <v>0</v>
      </c>
      <c r="O24" s="116">
        <f>IF((O16+O18+O20+O22)&gt;O36,0,(+O36-O16-O18-O20-O22))</f>
        <v>26</v>
      </c>
      <c r="P24" s="116">
        <f>IF((P16+P18+P20+P22)&gt;P36,0,(+P36-P16-P18-P20-P22))</f>
        <v>3</v>
      </c>
      <c r="Q24" s="116">
        <f>IF((Q16+Q18+Q20+Q22)&gt;Q36,0,(+Q36-Q16-Q18-Q20-Q22))</f>
        <v>1</v>
      </c>
      <c r="R24" s="116">
        <f t="shared" si="5"/>
        <v>7</v>
      </c>
      <c r="S24" s="116">
        <f t="shared" si="5"/>
        <v>34</v>
      </c>
      <c r="T24" s="116">
        <f>IF((T16+T18+T20+T22)&gt;T36,0,(+T36-T16-T18-T20-T22))</f>
        <v>2</v>
      </c>
      <c r="U24" s="116">
        <f t="shared" si="5"/>
        <v>3</v>
      </c>
      <c r="V24" s="116">
        <f t="shared" si="5"/>
        <v>12</v>
      </c>
      <c r="W24" s="116">
        <f t="shared" si="5"/>
        <v>5</v>
      </c>
      <c r="X24" s="116">
        <f>IF((X16+X18+X20+X22)&gt;X36,0,(+X36-X16-X18-X20-X22))</f>
        <v>0</v>
      </c>
      <c r="Y24" s="116">
        <f t="shared" si="5"/>
        <v>18</v>
      </c>
      <c r="Z24" s="116">
        <f t="shared" si="5"/>
        <v>7</v>
      </c>
      <c r="AA24" s="116">
        <f t="shared" si="5"/>
        <v>0</v>
      </c>
      <c r="AB24" s="117">
        <f t="shared" si="0"/>
        <v>219</v>
      </c>
      <c r="AD24" s="9"/>
    </row>
    <row r="25" spans="1:30" ht="18.75" customHeight="1" thickBot="1" thickTop="1">
      <c r="A25" s="266">
        <v>17</v>
      </c>
      <c r="B25" s="262"/>
      <c r="C25" s="251" t="s">
        <v>22</v>
      </c>
      <c r="D25" s="151" t="s">
        <v>36</v>
      </c>
      <c r="E25" s="159">
        <f>IF((E16+E18+E20+E22)&gt;E36,(E16+E18+E20+E22),E36)</f>
        <v>29</v>
      </c>
      <c r="F25" s="160">
        <f aca="true" t="shared" si="6" ref="F25:AA25">IF((F16+F18+F20+F22)&gt;F36,(F16+F18+F20+F22),F36)</f>
        <v>7</v>
      </c>
      <c r="G25" s="160">
        <f t="shared" si="6"/>
        <v>119</v>
      </c>
      <c r="H25" s="160">
        <f t="shared" si="6"/>
        <v>11</v>
      </c>
      <c r="I25" s="160">
        <f t="shared" si="6"/>
        <v>3</v>
      </c>
      <c r="J25" s="160">
        <f t="shared" si="6"/>
        <v>6</v>
      </c>
      <c r="K25" s="160">
        <f t="shared" si="6"/>
        <v>13</v>
      </c>
      <c r="L25" s="160">
        <f t="shared" si="6"/>
        <v>45</v>
      </c>
      <c r="M25" s="160">
        <f t="shared" si="6"/>
        <v>294</v>
      </c>
      <c r="N25" s="160">
        <f t="shared" si="6"/>
        <v>28</v>
      </c>
      <c r="O25" s="160">
        <f>IF((O16+O18+O20+O22)&gt;O36,(O16+O18+O20+O22),O36)</f>
        <v>36</v>
      </c>
      <c r="P25" s="160">
        <f>IF((P16+P18+P20+P22)&gt;P36,(P16+P18+P20+P22),P36)</f>
        <v>16</v>
      </c>
      <c r="Q25" s="160">
        <f>IF((Q16+Q18+Q20+Q22)&gt;Q36,(Q16+Q18+Q20+Q22),Q36)</f>
        <v>2</v>
      </c>
      <c r="R25" s="160">
        <f t="shared" si="6"/>
        <v>15</v>
      </c>
      <c r="S25" s="160">
        <f t="shared" si="6"/>
        <v>34</v>
      </c>
      <c r="T25" s="160">
        <f>IF((T16+T18+T20+T22)&gt;T36,(T16+T18+T20+T22),T36)</f>
        <v>2</v>
      </c>
      <c r="U25" s="160">
        <f t="shared" si="6"/>
        <v>15</v>
      </c>
      <c r="V25" s="160">
        <f t="shared" si="6"/>
        <v>16</v>
      </c>
      <c r="W25" s="160">
        <f t="shared" si="6"/>
        <v>5</v>
      </c>
      <c r="X25" s="160">
        <f>IF((X16+X18+X20+X22)&gt;X36,(X16+X18+X20+X22),X36)</f>
        <v>4</v>
      </c>
      <c r="Y25" s="160">
        <f t="shared" si="6"/>
        <v>18</v>
      </c>
      <c r="Z25" s="160">
        <f t="shared" si="6"/>
        <v>19</v>
      </c>
      <c r="AA25" s="160">
        <f t="shared" si="6"/>
        <v>8</v>
      </c>
      <c r="AB25" s="152">
        <f t="shared" si="0"/>
        <v>745</v>
      </c>
      <c r="AD25" s="9"/>
    </row>
    <row r="26" spans="1:32" ht="19.5" customHeight="1" thickBot="1" thickTop="1">
      <c r="A26" s="268"/>
      <c r="B26" s="263"/>
      <c r="C26" s="252"/>
      <c r="D26" s="123" t="s">
        <v>17</v>
      </c>
      <c r="E26" s="115">
        <f>+E17+E19+E21+E23</f>
        <v>0</v>
      </c>
      <c r="F26" s="116">
        <f aca="true" t="shared" si="7" ref="F26:AA26">+F17+F19+F21+F23</f>
        <v>1830</v>
      </c>
      <c r="G26" s="116">
        <f t="shared" si="7"/>
        <v>3905</v>
      </c>
      <c r="H26" s="116">
        <f t="shared" si="7"/>
        <v>570</v>
      </c>
      <c r="I26" s="116">
        <f t="shared" si="7"/>
        <v>80</v>
      </c>
      <c r="J26" s="116">
        <f t="shared" si="7"/>
        <v>1025</v>
      </c>
      <c r="K26" s="116">
        <f t="shared" si="7"/>
        <v>306</v>
      </c>
      <c r="L26" s="116">
        <f t="shared" si="7"/>
        <v>2752</v>
      </c>
      <c r="M26" s="116">
        <f t="shared" si="7"/>
        <v>0</v>
      </c>
      <c r="N26" s="116">
        <f t="shared" si="7"/>
        <v>1060</v>
      </c>
      <c r="O26" s="116">
        <f>+O17+O19+O21+O23</f>
        <v>819</v>
      </c>
      <c r="P26" s="116">
        <f>+P17+P19+P21+P23</f>
        <v>313</v>
      </c>
      <c r="Q26" s="116">
        <f t="shared" si="7"/>
        <v>60</v>
      </c>
      <c r="R26" s="116">
        <f t="shared" si="7"/>
        <v>4980</v>
      </c>
      <c r="S26" s="116">
        <f t="shared" si="7"/>
        <v>0</v>
      </c>
      <c r="T26" s="116">
        <f>+T17+T19+T21+T23</f>
        <v>0</v>
      </c>
      <c r="U26" s="116">
        <f t="shared" si="7"/>
        <v>495</v>
      </c>
      <c r="V26" s="116">
        <f>+V17+V19+W21+V23</f>
        <v>60</v>
      </c>
      <c r="W26" s="116">
        <f>+W17+W19+X21+W23</f>
        <v>0</v>
      </c>
      <c r="X26" s="116">
        <f>+X17+X19+Y21+X23</f>
        <v>83</v>
      </c>
      <c r="Y26" s="116">
        <f t="shared" si="7"/>
        <v>0</v>
      </c>
      <c r="Z26" s="116">
        <f t="shared" si="7"/>
        <v>844</v>
      </c>
      <c r="AA26" s="116">
        <f t="shared" si="7"/>
        <v>333</v>
      </c>
      <c r="AB26" s="117">
        <f t="shared" si="0"/>
        <v>19515</v>
      </c>
      <c r="AD26" s="9"/>
      <c r="AF26" s="9"/>
    </row>
    <row r="27" spans="1:30" ht="14.25" thickTop="1">
      <c r="A27" s="124">
        <v>18</v>
      </c>
      <c r="B27" s="274" t="s">
        <v>18</v>
      </c>
      <c r="C27" s="275"/>
      <c r="D27" s="275"/>
      <c r="E27" s="125">
        <f aca="true" t="shared" si="8" ref="E27:R27">E5+E6+E7</f>
        <v>150</v>
      </c>
      <c r="F27" s="126">
        <f t="shared" si="8"/>
        <v>13</v>
      </c>
      <c r="G27" s="126">
        <f t="shared" si="8"/>
        <v>553</v>
      </c>
      <c r="H27" s="126">
        <f t="shared" si="8"/>
        <v>30</v>
      </c>
      <c r="I27" s="126">
        <f t="shared" si="8"/>
        <v>30</v>
      </c>
      <c r="J27" s="126">
        <f t="shared" si="8"/>
        <v>14</v>
      </c>
      <c r="K27" s="126">
        <f t="shared" si="8"/>
        <v>30</v>
      </c>
      <c r="L27" s="126">
        <f t="shared" si="8"/>
        <v>113</v>
      </c>
      <c r="M27" s="126">
        <f t="shared" si="8"/>
        <v>1003</v>
      </c>
      <c r="N27" s="126">
        <f t="shared" si="8"/>
        <v>90</v>
      </c>
      <c r="O27" s="126">
        <f>O5+O6+O7</f>
        <v>56</v>
      </c>
      <c r="P27" s="126">
        <f t="shared" si="8"/>
        <v>60</v>
      </c>
      <c r="Q27" s="126">
        <f t="shared" si="8"/>
        <v>4</v>
      </c>
      <c r="R27" s="126">
        <f t="shared" si="8"/>
        <v>60</v>
      </c>
      <c r="S27" s="126">
        <f aca="true" t="shared" si="9" ref="S27:Y27">S5+S6+S7</f>
        <v>56</v>
      </c>
      <c r="T27" s="126">
        <f>T5+T6+T7</f>
        <v>30</v>
      </c>
      <c r="U27" s="126">
        <f t="shared" si="9"/>
        <v>90</v>
      </c>
      <c r="V27" s="126">
        <f t="shared" si="9"/>
        <v>34</v>
      </c>
      <c r="W27" s="126">
        <f t="shared" si="9"/>
        <v>90</v>
      </c>
      <c r="X27" s="126">
        <f>X5+X6+X7</f>
        <v>21</v>
      </c>
      <c r="Y27" s="126">
        <f t="shared" si="9"/>
        <v>78</v>
      </c>
      <c r="Z27" s="126">
        <f>Z5+Z6+Z7</f>
        <v>72</v>
      </c>
      <c r="AA27" s="126">
        <f>AA5+AA6+AA7</f>
        <v>13</v>
      </c>
      <c r="AB27" s="103">
        <f t="shared" si="0"/>
        <v>2690</v>
      </c>
      <c r="AD27" s="9"/>
    </row>
    <row r="28" spans="1:30" ht="14.25" thickBot="1">
      <c r="A28" s="127">
        <v>19</v>
      </c>
      <c r="B28" s="276" t="s">
        <v>19</v>
      </c>
      <c r="C28" s="277"/>
      <c r="D28" s="277"/>
      <c r="E28" s="128">
        <f aca="true" t="shared" si="10" ref="E28:R28">E27-E8</f>
        <v>150</v>
      </c>
      <c r="F28" s="129">
        <f t="shared" si="10"/>
        <v>13</v>
      </c>
      <c r="G28" s="129">
        <f t="shared" si="10"/>
        <v>553</v>
      </c>
      <c r="H28" s="129">
        <f t="shared" si="10"/>
        <v>30</v>
      </c>
      <c r="I28" s="129">
        <f t="shared" si="10"/>
        <v>16</v>
      </c>
      <c r="J28" s="129">
        <f t="shared" si="10"/>
        <v>14</v>
      </c>
      <c r="K28" s="129">
        <f t="shared" si="10"/>
        <v>30</v>
      </c>
      <c r="L28" s="129">
        <f t="shared" si="10"/>
        <v>113</v>
      </c>
      <c r="M28" s="129">
        <f t="shared" si="10"/>
        <v>999</v>
      </c>
      <c r="N28" s="129">
        <f t="shared" si="10"/>
        <v>90</v>
      </c>
      <c r="O28" s="129">
        <f>O27-O8</f>
        <v>56</v>
      </c>
      <c r="P28" s="129">
        <f t="shared" si="10"/>
        <v>51</v>
      </c>
      <c r="Q28" s="129">
        <f t="shared" si="10"/>
        <v>4</v>
      </c>
      <c r="R28" s="129">
        <f t="shared" si="10"/>
        <v>60</v>
      </c>
      <c r="S28" s="129">
        <f aca="true" t="shared" si="11" ref="S28:Y28">S27-S8</f>
        <v>56</v>
      </c>
      <c r="T28" s="129">
        <f>T27-T8</f>
        <v>30</v>
      </c>
      <c r="U28" s="129">
        <f t="shared" si="11"/>
        <v>90</v>
      </c>
      <c r="V28" s="129">
        <f t="shared" si="11"/>
        <v>34</v>
      </c>
      <c r="W28" s="129">
        <f t="shared" si="11"/>
        <v>90</v>
      </c>
      <c r="X28" s="129">
        <f>X27-X8</f>
        <v>21</v>
      </c>
      <c r="Y28" s="129">
        <f t="shared" si="11"/>
        <v>78</v>
      </c>
      <c r="Z28" s="129">
        <f>Z27-Z8</f>
        <v>72</v>
      </c>
      <c r="AA28" s="129">
        <f>AA27-AA8</f>
        <v>13</v>
      </c>
      <c r="AB28" s="109">
        <f t="shared" si="0"/>
        <v>2663</v>
      </c>
      <c r="AD28" s="9"/>
    </row>
    <row r="29" spans="1:30" ht="14.25" thickBot="1">
      <c r="A29" s="130">
        <v>20</v>
      </c>
      <c r="B29" s="278" t="s">
        <v>20</v>
      </c>
      <c r="C29" s="279"/>
      <c r="D29" s="279"/>
      <c r="E29" s="131">
        <f>+E28-E9-E10-E11-E12-E16-E18-E20-E22-E24</f>
        <v>109</v>
      </c>
      <c r="F29" s="132">
        <f aca="true" t="shared" si="12" ref="F29:AA29">+F28-F9-F10-F11-F12-F16-F18-F20-F22-F24</f>
        <v>2</v>
      </c>
      <c r="G29" s="132">
        <f t="shared" si="12"/>
        <v>430</v>
      </c>
      <c r="H29" s="132">
        <f t="shared" si="12"/>
        <v>19</v>
      </c>
      <c r="I29" s="132">
        <f t="shared" si="12"/>
        <v>13</v>
      </c>
      <c r="J29" s="132">
        <f t="shared" si="12"/>
        <v>8</v>
      </c>
      <c r="K29" s="132">
        <f t="shared" si="12"/>
        <v>16</v>
      </c>
      <c r="L29" s="132">
        <f t="shared" si="12"/>
        <v>54</v>
      </c>
      <c r="M29" s="132">
        <f t="shared" si="12"/>
        <v>703</v>
      </c>
      <c r="N29" s="132">
        <f t="shared" si="12"/>
        <v>60</v>
      </c>
      <c r="O29" s="132">
        <f>+O28-O9-O10-O11-O12-O16-O18-O20-O22-O24</f>
        <v>13</v>
      </c>
      <c r="P29" s="132">
        <f>+P28-P9-P10-P11-P12-P16-P18-P20-P22-P24</f>
        <v>35</v>
      </c>
      <c r="Q29" s="132">
        <f t="shared" si="12"/>
        <v>2</v>
      </c>
      <c r="R29" s="132">
        <f t="shared" si="12"/>
        <v>44</v>
      </c>
      <c r="S29" s="132">
        <f t="shared" si="12"/>
        <v>10</v>
      </c>
      <c r="T29" s="132">
        <f>+T28-T9-T10-T11-T12-T16-T18-T20-T22-T24</f>
        <v>28</v>
      </c>
      <c r="U29" s="132">
        <f t="shared" si="12"/>
        <v>54</v>
      </c>
      <c r="V29" s="132">
        <f t="shared" si="12"/>
        <v>18</v>
      </c>
      <c r="W29" s="132">
        <f t="shared" si="12"/>
        <v>67</v>
      </c>
      <c r="X29" s="132">
        <f>+X28-X9-X10-X11-X12-X16-X18-X20-X22-X24</f>
        <v>14</v>
      </c>
      <c r="Y29" s="132">
        <f t="shared" si="12"/>
        <v>56</v>
      </c>
      <c r="Z29" s="132">
        <f t="shared" si="12"/>
        <v>47</v>
      </c>
      <c r="AA29" s="132">
        <f t="shared" si="12"/>
        <v>5</v>
      </c>
      <c r="AB29" s="114">
        <f t="shared" si="0"/>
        <v>1807</v>
      </c>
      <c r="AD29" s="9"/>
    </row>
    <row r="30" spans="1:32" s="10" customFormat="1" ht="27" customHeight="1" thickBot="1" thickTop="1">
      <c r="A30" s="137">
        <v>21</v>
      </c>
      <c r="B30" s="280" t="s">
        <v>52</v>
      </c>
      <c r="C30" s="281"/>
      <c r="D30" s="281"/>
      <c r="E30" s="138">
        <f>IF(E28=0,0,(IF(E29=0,0,((E29-E6-E7)/(E5-E9-E16-E18)))))</f>
        <v>0.7266666666666667</v>
      </c>
      <c r="F30" s="138">
        <f>IF(F28=0,0,(IF(F29=0,0,((F29-F6-F7)/(F5-F9-F16-F18)))))</f>
        <v>0.16666666666666666</v>
      </c>
      <c r="G30" s="139">
        <f aca="true" t="shared" si="13" ref="G30:AA30">IF(G28=0,0,(IF(G29=0,0,((G29-G6-G7)/(G5-G9-G16-G18)))))</f>
        <v>0.8651911468812877</v>
      </c>
      <c r="H30" s="139">
        <f t="shared" si="13"/>
        <v>0.7037037037037037</v>
      </c>
      <c r="I30" s="139">
        <f t="shared" si="13"/>
        <v>0.48148148148148145</v>
      </c>
      <c r="J30" s="139">
        <f t="shared" si="13"/>
        <v>0.6153846153846154</v>
      </c>
      <c r="K30" s="139">
        <f t="shared" si="13"/>
        <v>0.9411764705882353</v>
      </c>
      <c r="L30" s="139">
        <f t="shared" si="13"/>
        <v>0.4909090909090909</v>
      </c>
      <c r="M30" s="139">
        <f t="shared" si="13"/>
        <v>0.9033505154639175</v>
      </c>
      <c r="N30" s="139">
        <f t="shared" si="13"/>
        <v>0.8571428571428571</v>
      </c>
      <c r="O30" s="139">
        <f>IF(O28=0,0,(IF(O29=0,0,((O29-O6-O7)/(O5-O9-O16-O18)))))</f>
        <v>0.23214285714285715</v>
      </c>
      <c r="P30" s="139">
        <f>IF(P28=0,0,(IF(P29=0,0,((P29-P6-P7)/(P5-P9-P16-P18)))))</f>
        <v>0.5932203389830508</v>
      </c>
      <c r="Q30" s="139">
        <f t="shared" si="13"/>
        <v>0.5</v>
      </c>
      <c r="R30" s="139">
        <f t="shared" si="13"/>
        <v>0.8148148148148148</v>
      </c>
      <c r="S30" s="139">
        <f t="shared" si="13"/>
        <v>0.17857142857142858</v>
      </c>
      <c r="T30" s="139">
        <f>IF(T28=0,0,(IF(T29=0,0,((T29-T6-T7)/(T5-T9-T16-T18)))))</f>
        <v>0.9333333333333333</v>
      </c>
      <c r="U30" s="139">
        <f t="shared" si="13"/>
        <v>0.6352941176470588</v>
      </c>
      <c r="V30" s="139">
        <f t="shared" si="13"/>
        <v>0.5294117647058824</v>
      </c>
      <c r="W30" s="139">
        <f t="shared" si="13"/>
        <v>0.7444444444444445</v>
      </c>
      <c r="X30" s="139">
        <f t="shared" si="13"/>
        <v>0.6666666666666666</v>
      </c>
      <c r="Y30" s="139">
        <f t="shared" si="13"/>
        <v>0.717948717948718</v>
      </c>
      <c r="Z30" s="139">
        <f t="shared" si="13"/>
        <v>0.6714285714285714</v>
      </c>
      <c r="AA30" s="139">
        <f t="shared" si="13"/>
        <v>0.38461538461538464</v>
      </c>
      <c r="AB30" s="140">
        <f>IF(AB28=0,0,(AB29/(AB28-AB18)))</f>
        <v>0.7758694718763418</v>
      </c>
      <c r="AD30" s="9"/>
      <c r="AF30" s="13"/>
    </row>
    <row r="31" spans="1:30" ht="15" thickBot="1" thickTop="1">
      <c r="A31" s="133">
        <v>22</v>
      </c>
      <c r="B31" s="271" t="s">
        <v>32</v>
      </c>
      <c r="C31" s="272"/>
      <c r="D31" s="272"/>
      <c r="E31" s="134">
        <f>+E29/E5</f>
        <v>0.7266666666666667</v>
      </c>
      <c r="F31" s="135">
        <f>+F29/F5</f>
        <v>0.15384615384615385</v>
      </c>
      <c r="G31" s="135">
        <f aca="true" t="shared" si="14" ref="G31:AA31">+G29/G5</f>
        <v>0.7775768535262206</v>
      </c>
      <c r="H31" s="135">
        <f>+H29/H5</f>
        <v>0.6333333333333333</v>
      </c>
      <c r="I31" s="135">
        <f t="shared" si="14"/>
        <v>0.43333333333333335</v>
      </c>
      <c r="J31" s="135">
        <f t="shared" si="14"/>
        <v>0.5714285714285714</v>
      </c>
      <c r="K31" s="135">
        <f t="shared" si="14"/>
        <v>0.5333333333333333</v>
      </c>
      <c r="L31" s="135">
        <f t="shared" si="14"/>
        <v>0.4778761061946903</v>
      </c>
      <c r="M31" s="135">
        <f t="shared" si="14"/>
        <v>0.7022977022977023</v>
      </c>
      <c r="N31" s="135">
        <f t="shared" si="14"/>
        <v>0.6666666666666666</v>
      </c>
      <c r="O31" s="135">
        <f>+O29/O5</f>
        <v>0.23214285714285715</v>
      </c>
      <c r="P31" s="135">
        <f>+P29/P5</f>
        <v>0.5833333333333334</v>
      </c>
      <c r="Q31" s="135">
        <f t="shared" si="14"/>
        <v>0.5</v>
      </c>
      <c r="R31" s="135">
        <f t="shared" si="14"/>
        <v>0.7333333333333333</v>
      </c>
      <c r="S31" s="135">
        <f t="shared" si="14"/>
        <v>0.17857142857142858</v>
      </c>
      <c r="T31" s="135">
        <f>+T29/T5</f>
        <v>0.9333333333333333</v>
      </c>
      <c r="U31" s="135">
        <f t="shared" si="14"/>
        <v>0.6</v>
      </c>
      <c r="V31" s="135">
        <f t="shared" si="14"/>
        <v>0.5294117647058824</v>
      </c>
      <c r="W31" s="135">
        <f t="shared" si="14"/>
        <v>0.7444444444444445</v>
      </c>
      <c r="X31" s="135">
        <f>+X29/X5</f>
        <v>0.6666666666666666</v>
      </c>
      <c r="Y31" s="135">
        <f t="shared" si="14"/>
        <v>0.717948717948718</v>
      </c>
      <c r="Z31" s="135">
        <f t="shared" si="14"/>
        <v>0.6527777777777778</v>
      </c>
      <c r="AA31" s="135">
        <f t="shared" si="14"/>
        <v>0.38461538461538464</v>
      </c>
      <c r="AB31" s="136">
        <f>+AB29/AB5</f>
        <v>0.6722470238095238</v>
      </c>
      <c r="AD31" s="9"/>
    </row>
    <row r="32" spans="1:30" ht="15" thickBot="1" thickTop="1">
      <c r="A32" s="147">
        <v>23</v>
      </c>
      <c r="B32" s="258" t="s">
        <v>21</v>
      </c>
      <c r="C32" s="273"/>
      <c r="D32" s="158" t="s">
        <v>17</v>
      </c>
      <c r="E32" s="148">
        <f>+E26/E25</f>
        <v>0</v>
      </c>
      <c r="F32" s="149">
        <f>+F26/F25</f>
        <v>261.42857142857144</v>
      </c>
      <c r="G32" s="149">
        <f aca="true" t="shared" si="15" ref="G32:AA32">+G26/G25</f>
        <v>32.81512605042017</v>
      </c>
      <c r="H32" s="149">
        <f>+H26/H25</f>
        <v>51.81818181818182</v>
      </c>
      <c r="I32" s="149">
        <f t="shared" si="15"/>
        <v>26.666666666666668</v>
      </c>
      <c r="J32" s="149">
        <f t="shared" si="15"/>
        <v>170.83333333333334</v>
      </c>
      <c r="K32" s="149">
        <f t="shared" si="15"/>
        <v>23.53846153846154</v>
      </c>
      <c r="L32" s="149">
        <f t="shared" si="15"/>
        <v>61.15555555555556</v>
      </c>
      <c r="M32" s="149">
        <f t="shared" si="15"/>
        <v>0</v>
      </c>
      <c r="N32" s="149">
        <f t="shared" si="15"/>
        <v>37.857142857142854</v>
      </c>
      <c r="O32" s="149">
        <f>+O26/O25</f>
        <v>22.75</v>
      </c>
      <c r="P32" s="149">
        <f>+P26/P25</f>
        <v>19.5625</v>
      </c>
      <c r="Q32" s="149">
        <f t="shared" si="15"/>
        <v>30</v>
      </c>
      <c r="R32" s="149">
        <f t="shared" si="15"/>
        <v>332</v>
      </c>
      <c r="S32" s="149">
        <f t="shared" si="15"/>
        <v>0</v>
      </c>
      <c r="T32" s="149">
        <f>+T26/T25</f>
        <v>0</v>
      </c>
      <c r="U32" s="149">
        <f t="shared" si="15"/>
        <v>33</v>
      </c>
      <c r="V32" s="149">
        <f t="shared" si="15"/>
        <v>3.75</v>
      </c>
      <c r="W32" s="149">
        <f t="shared" si="15"/>
        <v>0</v>
      </c>
      <c r="X32" s="149">
        <f>+X26/X25</f>
        <v>20.75</v>
      </c>
      <c r="Y32" s="149">
        <f t="shared" si="15"/>
        <v>0</v>
      </c>
      <c r="Z32" s="149">
        <f t="shared" si="15"/>
        <v>44.421052631578945</v>
      </c>
      <c r="AA32" s="149">
        <f t="shared" si="15"/>
        <v>41.625</v>
      </c>
      <c r="AB32" s="150">
        <f>+AB26/AB25</f>
        <v>26.19463087248322</v>
      </c>
      <c r="AD32" s="9"/>
    </row>
    <row r="33" spans="1:30" ht="13.5" thickTop="1">
      <c r="A33" s="250" t="s">
        <v>57</v>
      </c>
      <c r="B33" s="250"/>
      <c r="C33" s="250"/>
      <c r="D33" s="250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247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D33" s="9"/>
    </row>
    <row r="34" spans="25:30" ht="13.5" thickBot="1">
      <c r="Y34"/>
      <c r="Z34"/>
      <c r="AA34"/>
      <c r="AD34" s="9"/>
    </row>
    <row r="35" spans="3:30" ht="15" thickBot="1" thickTop="1">
      <c r="C35" s="30" t="s">
        <v>60</v>
      </c>
      <c r="E35" s="14">
        <v>12</v>
      </c>
      <c r="F35" s="15">
        <v>4</v>
      </c>
      <c r="G35" s="15">
        <v>4</v>
      </c>
      <c r="H35" s="15">
        <v>0</v>
      </c>
      <c r="I35" s="15">
        <v>14</v>
      </c>
      <c r="J35" s="15">
        <v>0</v>
      </c>
      <c r="K35" s="15">
        <v>1</v>
      </c>
      <c r="L35" s="15">
        <v>14</v>
      </c>
      <c r="M35" s="15">
        <v>6</v>
      </c>
      <c r="N35" s="15">
        <v>0</v>
      </c>
      <c r="O35" s="15">
        <v>7</v>
      </c>
      <c r="P35" s="15">
        <v>9</v>
      </c>
      <c r="Q35" s="15">
        <v>0</v>
      </c>
      <c r="R35" s="15">
        <v>1</v>
      </c>
      <c r="S35" s="15">
        <v>12</v>
      </c>
      <c r="T35" s="15">
        <v>0</v>
      </c>
      <c r="U35" s="15">
        <v>21</v>
      </c>
      <c r="V35" s="15">
        <v>0</v>
      </c>
      <c r="W35" s="15">
        <v>18</v>
      </c>
      <c r="X35" s="15">
        <v>3</v>
      </c>
      <c r="Y35" s="15">
        <v>4</v>
      </c>
      <c r="Z35" s="15">
        <v>6</v>
      </c>
      <c r="AA35" s="15">
        <v>0</v>
      </c>
      <c r="AB35" s="12">
        <f>SUM(E35:AA35)</f>
        <v>136</v>
      </c>
      <c r="AD35" s="9"/>
    </row>
    <row r="36" spans="3:30" ht="15" thickBot="1" thickTop="1">
      <c r="C36" s="30" t="s">
        <v>61</v>
      </c>
      <c r="E36" s="19">
        <v>29</v>
      </c>
      <c r="F36" s="20">
        <v>7</v>
      </c>
      <c r="G36" s="21">
        <v>119</v>
      </c>
      <c r="H36" s="21">
        <v>10</v>
      </c>
      <c r="I36" s="21">
        <v>3</v>
      </c>
      <c r="J36" s="21">
        <v>6</v>
      </c>
      <c r="K36" s="21">
        <v>11</v>
      </c>
      <c r="L36" s="21">
        <v>45</v>
      </c>
      <c r="M36" s="21">
        <v>294</v>
      </c>
      <c r="N36" s="21">
        <v>26</v>
      </c>
      <c r="O36" s="21">
        <v>36</v>
      </c>
      <c r="P36" s="21">
        <v>16</v>
      </c>
      <c r="Q36" s="21">
        <v>2</v>
      </c>
      <c r="R36" s="21">
        <v>15</v>
      </c>
      <c r="S36" s="21">
        <v>34</v>
      </c>
      <c r="T36" s="21">
        <v>2</v>
      </c>
      <c r="U36" s="21">
        <v>15</v>
      </c>
      <c r="V36" s="21">
        <v>16</v>
      </c>
      <c r="W36" s="21">
        <v>5</v>
      </c>
      <c r="X36" s="21">
        <v>4</v>
      </c>
      <c r="Y36" s="21">
        <v>18</v>
      </c>
      <c r="Z36" s="21">
        <v>19</v>
      </c>
      <c r="AA36" s="21">
        <v>2</v>
      </c>
      <c r="AB36" s="12">
        <f>SUM(E36:AA36)</f>
        <v>734</v>
      </c>
      <c r="AD36" s="9"/>
    </row>
    <row r="37" ht="13.5" thickTop="1"/>
    <row r="38" spans="18:27" ht="12.75">
      <c r="R38"/>
      <c r="S38"/>
      <c r="T38"/>
      <c r="U38"/>
      <c r="V38"/>
      <c r="W38"/>
      <c r="X38"/>
      <c r="Y38"/>
      <c r="Z38"/>
      <c r="AA38"/>
    </row>
  </sheetData>
  <sheetProtection/>
  <mergeCells count="36">
    <mergeCell ref="A1:C1"/>
    <mergeCell ref="A2:C2"/>
    <mergeCell ref="A3:C3"/>
    <mergeCell ref="B31:D31"/>
    <mergeCell ref="B32:C32"/>
    <mergeCell ref="B27:D27"/>
    <mergeCell ref="B28:D28"/>
    <mergeCell ref="B29:D29"/>
    <mergeCell ref="B30:D30"/>
    <mergeCell ref="A16:A17"/>
    <mergeCell ref="B16:B26"/>
    <mergeCell ref="C16:C17"/>
    <mergeCell ref="A18:A19"/>
    <mergeCell ref="C18:C19"/>
    <mergeCell ref="A20:A21"/>
    <mergeCell ref="C20:C21"/>
    <mergeCell ref="A22:A23"/>
    <mergeCell ref="C22:C23"/>
    <mergeCell ref="A25:A26"/>
    <mergeCell ref="B4:D4"/>
    <mergeCell ref="C14:D14"/>
    <mergeCell ref="C15:D15"/>
    <mergeCell ref="B5:D5"/>
    <mergeCell ref="B6:D6"/>
    <mergeCell ref="B7:D7"/>
    <mergeCell ref="B8:B15"/>
    <mergeCell ref="E33:AB33"/>
    <mergeCell ref="C8:D8"/>
    <mergeCell ref="C9:D9"/>
    <mergeCell ref="C10:D10"/>
    <mergeCell ref="C11:D11"/>
    <mergeCell ref="C13:D13"/>
    <mergeCell ref="C12:D12"/>
    <mergeCell ref="A33:D33"/>
    <mergeCell ref="C25:C26"/>
    <mergeCell ref="C24:D24"/>
  </mergeCells>
  <printOptions/>
  <pageMargins left="0.1968503937007874" right="0.1968503937007874" top="0.1968503937007874" bottom="0.1968503937007874" header="0" footer="0"/>
  <pageSetup horizontalDpi="600" verticalDpi="600" orientation="landscape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5" sqref="A35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:L20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N37" sqref="N37"/>
    </sheetView>
  </sheetViews>
  <sheetFormatPr defaultColWidth="11.421875" defaultRowHeight="12.75"/>
  <cols>
    <col min="2" max="2" width="10.7109375" style="0" customWidth="1"/>
  </cols>
  <sheetData>
    <row r="1" spans="1:7" ht="13.5">
      <c r="A1" s="290" t="s">
        <v>63</v>
      </c>
      <c r="B1" s="287"/>
      <c r="C1" s="287"/>
      <c r="D1" s="287"/>
      <c r="E1" s="287"/>
      <c r="F1" s="287"/>
      <c r="G1" s="287"/>
    </row>
    <row r="2" spans="1:7" ht="14.25" thickBot="1">
      <c r="A2" s="291" t="s">
        <v>102</v>
      </c>
      <c r="B2" s="287"/>
      <c r="C2" s="287"/>
      <c r="D2" s="287"/>
      <c r="E2" s="287"/>
      <c r="F2" s="287"/>
      <c r="G2" s="287"/>
    </row>
    <row r="3" spans="1:7" ht="14.25" thickBot="1">
      <c r="A3" s="292" t="s">
        <v>64</v>
      </c>
      <c r="B3" s="293"/>
      <c r="C3" s="294"/>
      <c r="D3" s="298" t="s">
        <v>65</v>
      </c>
      <c r="E3" s="299"/>
      <c r="F3" s="300"/>
      <c r="G3" s="301" t="s">
        <v>66</v>
      </c>
    </row>
    <row r="4" spans="1:7" ht="14.25" thickBot="1">
      <c r="A4" s="295"/>
      <c r="B4" s="296"/>
      <c r="C4" s="297"/>
      <c r="D4" s="175" t="s">
        <v>97</v>
      </c>
      <c r="E4" s="176" t="s">
        <v>99</v>
      </c>
      <c r="F4" s="176" t="s">
        <v>98</v>
      </c>
      <c r="G4" s="302"/>
    </row>
    <row r="5" spans="1:7" ht="13.5">
      <c r="A5" s="303" t="s">
        <v>67</v>
      </c>
      <c r="B5" s="304" t="s">
        <v>68</v>
      </c>
      <c r="C5" s="177" t="s">
        <v>69</v>
      </c>
      <c r="D5" s="178">
        <v>14</v>
      </c>
      <c r="E5" s="179">
        <v>54</v>
      </c>
      <c r="F5" s="179">
        <v>45</v>
      </c>
      <c r="G5" s="180">
        <v>113</v>
      </c>
    </row>
    <row r="6" spans="1:7" ht="13.5">
      <c r="A6" s="284"/>
      <c r="B6" s="287"/>
      <c r="C6" s="181" t="s">
        <v>70</v>
      </c>
      <c r="D6" s="182">
        <v>0</v>
      </c>
      <c r="E6" s="183">
        <v>8</v>
      </c>
      <c r="F6" s="183">
        <v>6</v>
      </c>
      <c r="G6" s="184">
        <v>14</v>
      </c>
    </row>
    <row r="7" spans="1:7" ht="13.5">
      <c r="A7" s="284"/>
      <c r="B7" s="287"/>
      <c r="C7" s="181" t="s">
        <v>71</v>
      </c>
      <c r="D7" s="182">
        <v>1</v>
      </c>
      <c r="E7" s="183">
        <v>18</v>
      </c>
      <c r="F7" s="183">
        <v>11</v>
      </c>
      <c r="G7" s="184">
        <v>30</v>
      </c>
    </row>
    <row r="8" spans="1:7" ht="13.5">
      <c r="A8" s="284"/>
      <c r="B8" s="287"/>
      <c r="C8" s="181" t="s">
        <v>72</v>
      </c>
      <c r="D8" s="182">
        <v>0</v>
      </c>
      <c r="E8" s="183">
        <v>20</v>
      </c>
      <c r="F8" s="183">
        <v>10</v>
      </c>
      <c r="G8" s="184">
        <v>30</v>
      </c>
    </row>
    <row r="9" spans="1:7" ht="13.5">
      <c r="A9" s="284"/>
      <c r="B9" s="287"/>
      <c r="C9" s="181" t="s">
        <v>41</v>
      </c>
      <c r="D9" s="182">
        <v>15</v>
      </c>
      <c r="E9" s="183">
        <v>12</v>
      </c>
      <c r="F9" s="183">
        <v>3</v>
      </c>
      <c r="G9" s="184">
        <v>30</v>
      </c>
    </row>
    <row r="10" spans="1:7" ht="13.5">
      <c r="A10" s="284"/>
      <c r="B10" s="287"/>
      <c r="C10" s="181" t="s">
        <v>73</v>
      </c>
      <c r="D10" s="182">
        <v>4</v>
      </c>
      <c r="E10" s="183">
        <v>2</v>
      </c>
      <c r="F10" s="183">
        <v>7</v>
      </c>
      <c r="G10" s="184">
        <v>13</v>
      </c>
    </row>
    <row r="11" spans="1:11" ht="13.5">
      <c r="A11" s="284"/>
      <c r="B11" s="287"/>
      <c r="C11" s="181" t="s">
        <v>42</v>
      </c>
      <c r="D11" s="182">
        <v>29</v>
      </c>
      <c r="E11" s="183">
        <v>621</v>
      </c>
      <c r="F11" s="183">
        <v>368</v>
      </c>
      <c r="G11" s="184">
        <v>1018</v>
      </c>
      <c r="I11" s="174"/>
      <c r="K11" s="174"/>
    </row>
    <row r="12" spans="1:7" ht="13.5">
      <c r="A12" s="284"/>
      <c r="B12" s="287"/>
      <c r="C12" s="181" t="s">
        <v>74</v>
      </c>
      <c r="D12" s="182">
        <v>9</v>
      </c>
      <c r="E12" s="183">
        <v>35</v>
      </c>
      <c r="F12" s="183">
        <v>16</v>
      </c>
      <c r="G12" s="184">
        <v>60</v>
      </c>
    </row>
    <row r="13" spans="1:7" ht="13.5">
      <c r="A13" s="284"/>
      <c r="B13" s="287"/>
      <c r="C13" s="181" t="s">
        <v>75</v>
      </c>
      <c r="D13" s="182">
        <v>0</v>
      </c>
      <c r="E13" s="183">
        <v>64</v>
      </c>
      <c r="F13" s="183">
        <v>26</v>
      </c>
      <c r="G13" s="184">
        <v>90</v>
      </c>
    </row>
    <row r="14" spans="1:7" ht="13.5">
      <c r="A14" s="284"/>
      <c r="B14" s="287"/>
      <c r="C14" s="181" t="s">
        <v>76</v>
      </c>
      <c r="D14" s="182">
        <v>0</v>
      </c>
      <c r="E14" s="183">
        <v>2</v>
      </c>
      <c r="F14" s="183">
        <v>2</v>
      </c>
      <c r="G14" s="184">
        <v>4</v>
      </c>
    </row>
    <row r="15" spans="1:7" ht="13.5">
      <c r="A15" s="284"/>
      <c r="B15" s="287"/>
      <c r="C15" s="181" t="s">
        <v>77</v>
      </c>
      <c r="D15" s="182">
        <v>1</v>
      </c>
      <c r="E15" s="183">
        <v>44</v>
      </c>
      <c r="F15" s="183">
        <v>15</v>
      </c>
      <c r="G15" s="184">
        <v>60</v>
      </c>
    </row>
    <row r="16" spans="1:7" ht="13.5">
      <c r="A16" s="284"/>
      <c r="B16" s="287"/>
      <c r="C16" s="181" t="s">
        <v>78</v>
      </c>
      <c r="D16" s="182">
        <v>3</v>
      </c>
      <c r="E16" s="183">
        <v>14</v>
      </c>
      <c r="F16" s="183">
        <v>4</v>
      </c>
      <c r="G16" s="184">
        <v>21</v>
      </c>
    </row>
    <row r="17" spans="1:7" ht="13.5">
      <c r="A17" s="284"/>
      <c r="B17" s="287"/>
      <c r="C17" s="181" t="s">
        <v>79</v>
      </c>
      <c r="D17" s="182">
        <v>9</v>
      </c>
      <c r="E17" s="183">
        <v>0</v>
      </c>
      <c r="F17" s="183">
        <v>0</v>
      </c>
      <c r="G17" s="184">
        <v>9</v>
      </c>
    </row>
    <row r="18" spans="1:7" ht="13.5">
      <c r="A18" s="284"/>
      <c r="B18" s="287"/>
      <c r="C18" s="181" t="s">
        <v>80</v>
      </c>
      <c r="D18" s="182">
        <v>12</v>
      </c>
      <c r="E18" s="183">
        <v>109</v>
      </c>
      <c r="F18" s="183">
        <v>29</v>
      </c>
      <c r="G18" s="184">
        <v>150</v>
      </c>
    </row>
    <row r="19" spans="1:7" ht="13.5">
      <c r="A19" s="284"/>
      <c r="B19" s="287"/>
      <c r="C19" s="181" t="s">
        <v>81</v>
      </c>
      <c r="D19" s="182">
        <v>12</v>
      </c>
      <c r="E19" s="183">
        <v>10</v>
      </c>
      <c r="F19" s="183">
        <v>34</v>
      </c>
      <c r="G19" s="184">
        <v>56</v>
      </c>
    </row>
    <row r="20" spans="1:7" ht="13.5">
      <c r="A20" s="284"/>
      <c r="B20" s="287"/>
      <c r="C20" s="181" t="s">
        <v>82</v>
      </c>
      <c r="D20" s="182">
        <v>1</v>
      </c>
      <c r="E20" s="183">
        <v>5</v>
      </c>
      <c r="F20" s="183">
        <v>3</v>
      </c>
      <c r="G20" s="184">
        <v>9</v>
      </c>
    </row>
    <row r="21" spans="1:7" ht="13.5">
      <c r="A21" s="284"/>
      <c r="B21" s="287"/>
      <c r="C21" s="181" t="s">
        <v>83</v>
      </c>
      <c r="D21" s="182">
        <v>0</v>
      </c>
      <c r="E21" s="183">
        <v>28</v>
      </c>
      <c r="F21" s="183">
        <v>2</v>
      </c>
      <c r="G21" s="184">
        <v>30</v>
      </c>
    </row>
    <row r="22" spans="1:7" ht="13.5">
      <c r="A22" s="284"/>
      <c r="B22" s="287"/>
      <c r="C22" s="181" t="s">
        <v>84</v>
      </c>
      <c r="D22" s="182">
        <v>0</v>
      </c>
      <c r="E22" s="183">
        <v>18</v>
      </c>
      <c r="F22" s="183">
        <v>16</v>
      </c>
      <c r="G22" s="184">
        <v>34</v>
      </c>
    </row>
    <row r="23" spans="1:7" ht="13.5">
      <c r="A23" s="284"/>
      <c r="B23" s="287"/>
      <c r="C23" s="181" t="s">
        <v>85</v>
      </c>
      <c r="D23" s="182">
        <v>18</v>
      </c>
      <c r="E23" s="183">
        <v>67</v>
      </c>
      <c r="F23" s="183">
        <v>5</v>
      </c>
      <c r="G23" s="184">
        <v>90</v>
      </c>
    </row>
    <row r="24" spans="1:7" ht="13.5">
      <c r="A24" s="284"/>
      <c r="B24" s="287"/>
      <c r="C24" s="181" t="s">
        <v>86</v>
      </c>
      <c r="D24" s="182">
        <v>21</v>
      </c>
      <c r="E24" s="183">
        <v>54</v>
      </c>
      <c r="F24" s="183">
        <v>15</v>
      </c>
      <c r="G24" s="184">
        <v>90</v>
      </c>
    </row>
    <row r="25" spans="1:7" ht="13.5">
      <c r="A25" s="284"/>
      <c r="B25" s="287"/>
      <c r="C25" s="181" t="s">
        <v>87</v>
      </c>
      <c r="D25" s="182">
        <v>4</v>
      </c>
      <c r="E25" s="183">
        <v>56</v>
      </c>
      <c r="F25" s="183">
        <v>18</v>
      </c>
      <c r="G25" s="184">
        <v>78</v>
      </c>
    </row>
    <row r="26" spans="1:7" ht="13.5">
      <c r="A26" s="284"/>
      <c r="B26" s="287"/>
      <c r="C26" s="181" t="s">
        <v>88</v>
      </c>
      <c r="D26" s="182">
        <v>0</v>
      </c>
      <c r="E26" s="183">
        <v>20</v>
      </c>
      <c r="F26" s="183">
        <v>10</v>
      </c>
      <c r="G26" s="184">
        <v>30</v>
      </c>
    </row>
    <row r="27" spans="1:7" ht="13.5">
      <c r="A27" s="284"/>
      <c r="B27" s="287"/>
      <c r="C27" s="181" t="s">
        <v>40</v>
      </c>
      <c r="D27" s="182">
        <v>20</v>
      </c>
      <c r="E27" s="183">
        <v>523</v>
      </c>
      <c r="F27" s="183">
        <v>124</v>
      </c>
      <c r="G27" s="184">
        <v>667</v>
      </c>
    </row>
    <row r="28" spans="1:7" ht="13.5">
      <c r="A28" s="284"/>
      <c r="B28" s="287"/>
      <c r="C28" s="181" t="s">
        <v>89</v>
      </c>
      <c r="D28" s="182">
        <v>0</v>
      </c>
      <c r="E28" s="183">
        <v>5</v>
      </c>
      <c r="F28" s="183">
        <v>8</v>
      </c>
      <c r="G28" s="184">
        <v>13</v>
      </c>
    </row>
    <row r="29" spans="1:7" ht="13.5">
      <c r="A29" s="284"/>
      <c r="B29" s="287"/>
      <c r="C29" s="181" t="s">
        <v>90</v>
      </c>
      <c r="D29" s="182">
        <v>0</v>
      </c>
      <c r="E29" s="183">
        <v>6</v>
      </c>
      <c r="F29" s="183">
        <v>0</v>
      </c>
      <c r="G29" s="184">
        <v>6</v>
      </c>
    </row>
    <row r="30" spans="1:7" ht="13.5">
      <c r="A30" s="284"/>
      <c r="B30" s="287"/>
      <c r="C30" s="181" t="s">
        <v>91</v>
      </c>
      <c r="D30" s="182">
        <v>0</v>
      </c>
      <c r="E30" s="183">
        <v>28</v>
      </c>
      <c r="F30" s="183">
        <v>2</v>
      </c>
      <c r="G30" s="184">
        <v>30</v>
      </c>
    </row>
    <row r="31" spans="1:7" ht="13.5">
      <c r="A31" s="284"/>
      <c r="B31" s="287"/>
      <c r="C31" s="181" t="s">
        <v>92</v>
      </c>
      <c r="D31" s="182">
        <v>6</v>
      </c>
      <c r="E31" s="183">
        <v>4</v>
      </c>
      <c r="F31" s="183">
        <v>3</v>
      </c>
      <c r="G31" s="184">
        <v>13</v>
      </c>
    </row>
    <row r="32" spans="1:7" ht="13.5">
      <c r="A32" s="284"/>
      <c r="B32" s="287"/>
      <c r="C32" s="181" t="s">
        <v>93</v>
      </c>
      <c r="D32" s="182">
        <v>6</v>
      </c>
      <c r="E32" s="183">
        <v>47</v>
      </c>
      <c r="F32" s="183">
        <v>19</v>
      </c>
      <c r="G32" s="184">
        <v>72</v>
      </c>
    </row>
    <row r="33" spans="1:7" ht="13.5">
      <c r="A33" s="284"/>
      <c r="B33" s="287"/>
      <c r="C33" s="181" t="s">
        <v>94</v>
      </c>
      <c r="D33" s="182">
        <v>7</v>
      </c>
      <c r="E33" s="183">
        <v>13</v>
      </c>
      <c r="F33" s="183">
        <v>36</v>
      </c>
      <c r="G33" s="184">
        <v>56</v>
      </c>
    </row>
    <row r="34" spans="1:7" ht="13.5">
      <c r="A34" s="285"/>
      <c r="B34" s="288" t="s">
        <v>66</v>
      </c>
      <c r="C34" s="289"/>
      <c r="D34" s="185">
        <v>192</v>
      </c>
      <c r="E34" s="186">
        <v>1887</v>
      </c>
      <c r="F34" s="186">
        <v>837</v>
      </c>
      <c r="G34" s="187">
        <v>2916</v>
      </c>
    </row>
    <row r="35" spans="1:7" ht="13.5">
      <c r="A35" s="283" t="s">
        <v>95</v>
      </c>
      <c r="B35" s="286" t="s">
        <v>68</v>
      </c>
      <c r="C35" s="188" t="s">
        <v>96</v>
      </c>
      <c r="D35" s="189">
        <v>192</v>
      </c>
      <c r="E35" s="190">
        <v>615</v>
      </c>
      <c r="F35" s="190">
        <v>736</v>
      </c>
      <c r="G35" s="191">
        <v>1543</v>
      </c>
    </row>
    <row r="36" spans="1:7" ht="13.5">
      <c r="A36" s="284"/>
      <c r="B36" s="287"/>
      <c r="C36" s="181" t="s">
        <v>41</v>
      </c>
      <c r="D36" s="182">
        <v>556</v>
      </c>
      <c r="E36" s="183">
        <v>1237</v>
      </c>
      <c r="F36" s="183">
        <v>1827</v>
      </c>
      <c r="G36" s="184">
        <v>3620</v>
      </c>
    </row>
    <row r="37" spans="1:7" ht="13.5">
      <c r="A37" s="284"/>
      <c r="B37" s="287"/>
      <c r="C37" s="181" t="s">
        <v>42</v>
      </c>
      <c r="D37" s="182">
        <v>428</v>
      </c>
      <c r="E37" s="183">
        <v>3876</v>
      </c>
      <c r="F37" s="183">
        <v>3349</v>
      </c>
      <c r="G37" s="184">
        <v>7653</v>
      </c>
    </row>
    <row r="38" spans="1:7" ht="13.5">
      <c r="A38" s="284"/>
      <c r="B38" s="287"/>
      <c r="C38" s="181" t="s">
        <v>43</v>
      </c>
      <c r="D38" s="182">
        <v>245</v>
      </c>
      <c r="E38" s="183">
        <v>575</v>
      </c>
      <c r="F38" s="183">
        <v>749</v>
      </c>
      <c r="G38" s="184">
        <v>1569</v>
      </c>
    </row>
    <row r="39" spans="1:7" ht="13.5">
      <c r="A39" s="284"/>
      <c r="B39" s="287"/>
      <c r="C39" s="181" t="s">
        <v>45</v>
      </c>
      <c r="D39" s="182">
        <v>220</v>
      </c>
      <c r="E39" s="183">
        <v>138</v>
      </c>
      <c r="F39" s="183">
        <v>402</v>
      </c>
      <c r="G39" s="184">
        <v>760</v>
      </c>
    </row>
    <row r="40" spans="1:7" ht="13.5">
      <c r="A40" s="284"/>
      <c r="B40" s="287"/>
      <c r="C40" s="181" t="s">
        <v>40</v>
      </c>
      <c r="D40" s="182">
        <v>69</v>
      </c>
      <c r="E40" s="183">
        <v>959</v>
      </c>
      <c r="F40" s="183">
        <v>441</v>
      </c>
      <c r="G40" s="184">
        <v>1469</v>
      </c>
    </row>
    <row r="41" spans="1:7" ht="13.5">
      <c r="A41" s="285"/>
      <c r="B41" s="288" t="s">
        <v>66</v>
      </c>
      <c r="C41" s="289"/>
      <c r="D41" s="185">
        <v>1710</v>
      </c>
      <c r="E41" s="186">
        <v>7400</v>
      </c>
      <c r="F41" s="186">
        <v>7504</v>
      </c>
      <c r="G41" s="187">
        <v>16614</v>
      </c>
    </row>
  </sheetData>
  <sheetProtection/>
  <mergeCells count="11">
    <mergeCell ref="B34:C34"/>
    <mergeCell ref="A35:A41"/>
    <mergeCell ref="B35:B40"/>
    <mergeCell ref="B41:C41"/>
    <mergeCell ref="A1:G1"/>
    <mergeCell ref="A2:G2"/>
    <mergeCell ref="A3:C4"/>
    <mergeCell ref="D3:F3"/>
    <mergeCell ref="G3:G4"/>
    <mergeCell ref="A5:A34"/>
    <mergeCell ref="B5:B3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U.A.E AERONAUTICA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Cumplimiento Noviembre</dc:title>
  <dc:subject/>
  <dc:creator>4242800</dc:creator>
  <cp:keywords/>
  <dc:description/>
  <cp:lastModifiedBy>52198244</cp:lastModifiedBy>
  <cp:lastPrinted>2012-01-20T15:08:27Z</cp:lastPrinted>
  <dcterms:created xsi:type="dcterms:W3CDTF">2009-09-24T13:18:33Z</dcterms:created>
  <dcterms:modified xsi:type="dcterms:W3CDTF">2012-01-27T14:05:13Z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AEVVZYF6TF2M-623-135</vt:lpwstr>
  </property>
  <property fmtid="{D5CDD505-2E9C-101B-9397-08002B2CF9AE}" pid="4" name="_dlc_DocIdItemGu">
    <vt:lpwstr>0bbd8510-d372-418c-9411-3b0a8027b42e</vt:lpwstr>
  </property>
  <property fmtid="{D5CDD505-2E9C-101B-9397-08002B2CF9AE}" pid="5" name="_dlc_DocIdU">
    <vt:lpwstr>http://www.aerocivil.gov.co/AAeronautica/Estadisticas/TAereo/_layouts/DocIdRedir.aspx?ID=AEVVZYF6TF2M-623-135, AEVVZYF6TF2M-623-135</vt:lpwstr>
  </property>
  <property fmtid="{D5CDD505-2E9C-101B-9397-08002B2CF9AE}" pid="6" name="Cla">
    <vt:lpwstr>CALIDAD 2011</vt:lpwstr>
  </property>
  <property fmtid="{D5CDD505-2E9C-101B-9397-08002B2CF9AE}" pid="7" name="Secci">
    <vt:lpwstr>Calidad del Servicio</vt:lpwstr>
  </property>
  <property fmtid="{D5CDD505-2E9C-101B-9397-08002B2CF9AE}" pid="8" name="Ord">
    <vt:lpwstr>05</vt:lpwstr>
  </property>
  <property fmtid="{D5CDD505-2E9C-101B-9397-08002B2CF9AE}" pid="9" name="Filt">
    <vt:lpwstr>CALIDAD 2011</vt:lpwstr>
  </property>
  <property fmtid="{D5CDD505-2E9C-101B-9397-08002B2CF9AE}" pid="10" name="Forma">
    <vt:lpwstr>/Style%20Library/Images/xls.svg</vt:lpwstr>
  </property>
</Properties>
</file>